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3613"/>
  <workbookPr showInkAnnotation="0" autoCompressPictures="0"/>
  <bookViews>
    <workbookView xWindow="1620" yWindow="0" windowWidth="25600" windowHeight="15540" tabRatio="915"/>
  </bookViews>
  <sheets>
    <sheet name="Get Started!" sheetId="9" r:id="rId1"/>
    <sheet name="CRS Pg 1 Essentials" sheetId="1" r:id="rId2"/>
    <sheet name="CRS Pg 2 Equipment" sheetId="7" r:id="rId3"/>
    <sheet name="CRS Pg 3 Skills" sheetId="8" r:id="rId4"/>
    <sheet name="CRS Pg 4 Kits" sheetId="10" r:id="rId5"/>
    <sheet name="Basic Data" sheetId="2" r:id="rId6"/>
    <sheet name="Equipment Data" sheetId="4" r:id="rId7"/>
    <sheet name="Weapons Data" sheetId="6" r:id="rId8"/>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E15" i="9" l="1"/>
  <c r="C22" i="1"/>
  <c r="C23" i="1"/>
  <c r="C13" i="1"/>
  <c r="C7" i="8"/>
  <c r="F7" i="8"/>
  <c r="D11" i="7"/>
  <c r="D10" i="7"/>
  <c r="D9" i="7"/>
  <c r="D8" i="7"/>
  <c r="D7" i="7"/>
  <c r="D6" i="7"/>
  <c r="D5" i="7"/>
  <c r="H5" i="8"/>
  <c r="C5" i="8"/>
  <c r="F5" i="8"/>
  <c r="D4" i="7"/>
  <c r="K11" i="7"/>
  <c r="J11" i="7"/>
  <c r="I11" i="7"/>
  <c r="K10" i="7"/>
  <c r="J10" i="7"/>
  <c r="I10" i="7"/>
  <c r="K9" i="7"/>
  <c r="J9" i="7"/>
  <c r="I9" i="7"/>
  <c r="K8" i="7"/>
  <c r="J8" i="7"/>
  <c r="I8" i="7"/>
  <c r="K7" i="7"/>
  <c r="J7" i="7"/>
  <c r="I7" i="7"/>
  <c r="K6" i="7"/>
  <c r="J6" i="7"/>
  <c r="I6" i="7"/>
  <c r="K5" i="7"/>
  <c r="J5" i="7"/>
  <c r="I5" i="7"/>
  <c r="K4" i="7"/>
  <c r="J4" i="7"/>
  <c r="I4" i="7"/>
  <c r="H11" i="7"/>
  <c r="H10" i="7"/>
  <c r="H9" i="7"/>
  <c r="H8" i="7"/>
  <c r="H7" i="7"/>
  <c r="H6" i="7"/>
  <c r="H5" i="7"/>
  <c r="H4" i="7"/>
  <c r="G11" i="7"/>
  <c r="G10" i="7"/>
  <c r="G9" i="7"/>
  <c r="G8" i="7"/>
  <c r="G7" i="7"/>
  <c r="G6" i="7"/>
  <c r="G5" i="7"/>
  <c r="G4" i="7"/>
  <c r="F11" i="7"/>
  <c r="F10" i="7"/>
  <c r="F9" i="7"/>
  <c r="F8" i="7"/>
  <c r="F7" i="7"/>
  <c r="F6" i="7"/>
  <c r="F5" i="7"/>
  <c r="F4" i="7"/>
  <c r="M13" i="1"/>
  <c r="M14" i="1"/>
  <c r="M15" i="1"/>
  <c r="M16" i="1"/>
  <c r="C68" i="8"/>
  <c r="F15" i="7"/>
  <c r="F16" i="7"/>
  <c r="F17" i="7"/>
  <c r="F18" i="7"/>
  <c r="F19" i="7"/>
  <c r="F20" i="7"/>
  <c r="F21" i="7"/>
  <c r="F22" i="7"/>
  <c r="F23" i="7"/>
  <c r="F24" i="7"/>
  <c r="F25" i="7"/>
  <c r="F26" i="7"/>
  <c r="F27" i="7"/>
  <c r="F28" i="7"/>
  <c r="F29" i="7"/>
  <c r="F30" i="7"/>
  <c r="F31" i="7"/>
  <c r="F32" i="7"/>
  <c r="K15" i="7"/>
  <c r="K16" i="7"/>
  <c r="K17" i="7"/>
  <c r="K18" i="7"/>
  <c r="K19" i="7"/>
  <c r="K20" i="7"/>
  <c r="K21" i="7"/>
  <c r="K22" i="7"/>
  <c r="K23" i="7"/>
  <c r="K24" i="7"/>
  <c r="K25" i="7"/>
  <c r="K26" i="7"/>
  <c r="K27" i="7"/>
  <c r="K28" i="7"/>
  <c r="K29" i="7"/>
  <c r="K30" i="7"/>
  <c r="K31" i="7"/>
  <c r="K32" i="7"/>
  <c r="N12" i="1"/>
  <c r="N13" i="1"/>
  <c r="N14" i="1"/>
  <c r="N15" i="1"/>
  <c r="N16" i="1"/>
  <c r="N17" i="1"/>
  <c r="E4" i="7"/>
  <c r="E11" i="7"/>
  <c r="E5" i="7"/>
  <c r="E6" i="7"/>
  <c r="E7" i="7"/>
  <c r="E8" i="7"/>
  <c r="E9" i="7"/>
  <c r="E10" i="7"/>
  <c r="I9" i="1"/>
  <c r="E15" i="7"/>
  <c r="E16" i="7"/>
  <c r="E17" i="7"/>
  <c r="E18" i="7"/>
  <c r="E19" i="7"/>
  <c r="E20" i="7"/>
  <c r="E21" i="7"/>
  <c r="E22" i="7"/>
  <c r="E23" i="7"/>
  <c r="E24" i="7"/>
  <c r="E25" i="7"/>
  <c r="E26" i="7"/>
  <c r="E27" i="7"/>
  <c r="E28" i="7"/>
  <c r="E29" i="7"/>
  <c r="E30" i="7"/>
  <c r="E31" i="7"/>
  <c r="E32" i="7"/>
  <c r="J15" i="7"/>
  <c r="J16" i="7"/>
  <c r="J17" i="7"/>
  <c r="J18" i="7"/>
  <c r="J19" i="7"/>
  <c r="J20" i="7"/>
  <c r="J21" i="7"/>
  <c r="J22" i="7"/>
  <c r="J23" i="7"/>
  <c r="J24" i="7"/>
  <c r="J25" i="7"/>
  <c r="J26" i="7"/>
  <c r="J27" i="7"/>
  <c r="J28" i="7"/>
  <c r="J29" i="7"/>
  <c r="J30" i="7"/>
  <c r="J31" i="7"/>
  <c r="J32" i="7"/>
  <c r="C4" i="7"/>
  <c r="C11" i="7"/>
  <c r="C5" i="7"/>
  <c r="C6" i="7"/>
  <c r="C7" i="7"/>
  <c r="C8" i="7"/>
  <c r="C9" i="7"/>
  <c r="C10" i="7"/>
  <c r="B33" i="7"/>
  <c r="M12" i="1"/>
  <c r="M17" i="1"/>
  <c r="C24" i="1"/>
  <c r="J12" i="1"/>
  <c r="J13" i="1"/>
  <c r="H8" i="8"/>
  <c r="C8" i="8"/>
  <c r="C66" i="8"/>
  <c r="H51" i="8"/>
  <c r="C51" i="8"/>
  <c r="C63" i="8"/>
  <c r="H35" i="8"/>
  <c r="C35" i="8"/>
  <c r="C59" i="8"/>
  <c r="C56" i="8"/>
  <c r="H43" i="8"/>
  <c r="C43" i="8"/>
  <c r="H30" i="8"/>
  <c r="C30" i="8"/>
  <c r="H21" i="8"/>
  <c r="C21" i="8"/>
  <c r="H12" i="8"/>
  <c r="C12" i="8"/>
  <c r="H11" i="8"/>
  <c r="C11" i="8"/>
  <c r="H9" i="8"/>
  <c r="C9" i="8"/>
  <c r="H7" i="8"/>
  <c r="H6" i="8"/>
  <c r="C6" i="8"/>
  <c r="F68" i="8"/>
  <c r="F66" i="8"/>
  <c r="F65" i="8"/>
  <c r="F64" i="8"/>
  <c r="F62" i="8"/>
  <c r="F61" i="8"/>
  <c r="F60" i="8"/>
  <c r="D6" i="10"/>
  <c r="E6" i="10"/>
  <c r="C6" i="10"/>
  <c r="B37" i="10"/>
  <c r="B36" i="10"/>
  <c r="B35" i="10"/>
  <c r="B34" i="10"/>
  <c r="B33" i="10"/>
  <c r="B32" i="10"/>
  <c r="B31" i="10"/>
  <c r="B30" i="10"/>
  <c r="B29" i="10"/>
  <c r="B28" i="10"/>
  <c r="B27" i="10"/>
  <c r="B26" i="10"/>
  <c r="B25" i="10"/>
  <c r="B24" i="10"/>
  <c r="D5" i="10"/>
  <c r="E5" i="10"/>
  <c r="C5" i="10"/>
  <c r="F34" i="10"/>
  <c r="F31" i="10"/>
  <c r="B23" i="10"/>
  <c r="F28" i="10"/>
  <c r="D4" i="10"/>
  <c r="E4" i="10"/>
  <c r="C4" i="10"/>
  <c r="F25" i="10"/>
  <c r="F26" i="10"/>
  <c r="F24" i="10"/>
  <c r="F23" i="10"/>
  <c r="F22" i="10"/>
  <c r="F21" i="10"/>
  <c r="F20" i="10"/>
  <c r="F19" i="10"/>
  <c r="F18" i="10"/>
  <c r="F17" i="10"/>
  <c r="F16" i="10"/>
  <c r="F15" i="10"/>
  <c r="F14" i="10"/>
  <c r="F13" i="10"/>
  <c r="F12" i="10"/>
  <c r="F11" i="10"/>
  <c r="F10" i="10"/>
  <c r="F9" i="10"/>
  <c r="D3" i="10"/>
  <c r="E3" i="10"/>
  <c r="C3" i="10"/>
  <c r="B9" i="10"/>
  <c r="B21" i="10"/>
  <c r="B20" i="10"/>
  <c r="B19" i="10"/>
  <c r="B18" i="10"/>
  <c r="B17" i="10"/>
  <c r="B16" i="10"/>
  <c r="B15" i="10"/>
  <c r="B14" i="10"/>
  <c r="B13" i="10"/>
  <c r="B12" i="10"/>
  <c r="B11" i="10"/>
  <c r="B10" i="10"/>
  <c r="E16" i="9"/>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E14" i="9"/>
  <c r="E13" i="9"/>
  <c r="B87" i="2"/>
  <c r="B88" i="2"/>
  <c r="B89" i="2"/>
  <c r="B90" i="2"/>
  <c r="B91" i="2"/>
  <c r="B92" i="2"/>
  <c r="B93" i="2"/>
  <c r="B94" i="2"/>
  <c r="B95" i="2"/>
  <c r="B96" i="2"/>
  <c r="B97" i="2"/>
  <c r="B98" i="2"/>
  <c r="B99" i="2"/>
  <c r="E12" i="9"/>
  <c r="E11" i="9"/>
  <c r="C15" i="1"/>
  <c r="C14" i="1"/>
  <c r="B70" i="8"/>
  <c r="F55" i="8"/>
  <c r="F54" i="8"/>
  <c r="F53" i="8"/>
  <c r="F52" i="8"/>
  <c r="F51" i="8"/>
  <c r="F50" i="8"/>
  <c r="F49" i="8"/>
  <c r="F48" i="8"/>
  <c r="F47" i="8"/>
  <c r="F46" i="8"/>
  <c r="F45" i="8"/>
  <c r="F41" i="8"/>
  <c r="F40" i="8"/>
  <c r="F39" i="8"/>
  <c r="F38" i="8"/>
  <c r="F37" i="8"/>
  <c r="F36" i="8"/>
  <c r="F35" i="8"/>
  <c r="E3" i="1"/>
  <c r="J14" i="1"/>
  <c r="J16" i="1"/>
  <c r="J15" i="1"/>
  <c r="C21" i="1"/>
  <c r="E20" i="1"/>
  <c r="E18" i="1"/>
  <c r="D18" i="1"/>
  <c r="D9" i="1"/>
  <c r="C9" i="1"/>
  <c r="C20" i="1"/>
  <c r="B9" i="1"/>
  <c r="C19" i="1"/>
  <c r="E13" i="1"/>
  <c r="C16" i="1"/>
  <c r="B100" i="2"/>
  <c r="B101" i="2"/>
  <c r="B102" i="2"/>
  <c r="B103" i="2"/>
  <c r="B104" i="2"/>
  <c r="B105" i="2"/>
  <c r="B106" i="2"/>
  <c r="B107" i="2"/>
  <c r="B108" i="2"/>
  <c r="B109" i="2"/>
  <c r="B110" i="2"/>
  <c r="B111" i="2"/>
  <c r="F34" i="8"/>
  <c r="F33" i="8"/>
  <c r="F32" i="8"/>
  <c r="F31" i="8"/>
  <c r="F30" i="8"/>
  <c r="F29" i="8"/>
  <c r="F28" i="8"/>
  <c r="F27" i="8"/>
  <c r="F25" i="8"/>
  <c r="F24" i="8"/>
  <c r="F23" i="8"/>
  <c r="F21" i="8"/>
  <c r="F20" i="8"/>
  <c r="F19" i="8"/>
  <c r="F18" i="8"/>
  <c r="F15" i="8"/>
  <c r="F14" i="8"/>
  <c r="F13" i="8"/>
  <c r="F12" i="8"/>
  <c r="F11" i="8"/>
  <c r="F8" i="8"/>
  <c r="F6" i="8"/>
  <c r="F10" i="8"/>
  <c r="F9" i="8"/>
  <c r="E15" i="1"/>
  <c r="E14" i="1"/>
  <c r="C12" i="1"/>
  <c r="E12" i="1"/>
  <c r="I3" i="1"/>
  <c r="F58" i="8"/>
  <c r="F56" i="8"/>
  <c r="F57" i="8"/>
</calcChain>
</file>

<file path=xl/sharedStrings.xml><?xml version="1.0" encoding="utf-8"?>
<sst xmlns="http://schemas.openxmlformats.org/spreadsheetml/2006/main" count="670" uniqueCount="491">
  <si>
    <t>Player's Name</t>
  </si>
  <si>
    <t>Character's Name</t>
  </si>
  <si>
    <t>Race</t>
  </si>
  <si>
    <t>Sex</t>
  </si>
  <si>
    <t>Handedness</t>
  </si>
  <si>
    <t>Walking</t>
  </si>
  <si>
    <t>Running</t>
  </si>
  <si>
    <t>Hourly</t>
  </si>
  <si>
    <t>Movement</t>
  </si>
  <si>
    <t>Basics</t>
  </si>
  <si>
    <t>Current STA</t>
  </si>
  <si>
    <t>Other Injuries</t>
  </si>
  <si>
    <t>Medical Record</t>
  </si>
  <si>
    <t>Physical Data</t>
  </si>
  <si>
    <t>STR / STA</t>
  </si>
  <si>
    <t>/</t>
  </si>
  <si>
    <t>DEX / RS</t>
  </si>
  <si>
    <t>PER / LDR</t>
  </si>
  <si>
    <t>INT / LOG</t>
  </si>
  <si>
    <t>IM</t>
  </si>
  <si>
    <t>Weapons</t>
  </si>
  <si>
    <t>Weapon</t>
  </si>
  <si>
    <t>Ammo</t>
  </si>
  <si>
    <t>Defenses</t>
  </si>
  <si>
    <t>Energy Record</t>
  </si>
  <si>
    <t>Personal Profile</t>
  </si>
  <si>
    <t>Racial Abilities</t>
  </si>
  <si>
    <t>Credits</t>
  </si>
  <si>
    <t>Pay/Day</t>
  </si>
  <si>
    <t>NAME_ME</t>
  </si>
  <si>
    <t>Left</t>
  </si>
  <si>
    <t>Right</t>
  </si>
  <si>
    <t>HANDEDNESS</t>
  </si>
  <si>
    <t>GENDER</t>
  </si>
  <si>
    <t>Female</t>
  </si>
  <si>
    <t>Male</t>
  </si>
  <si>
    <t>RACE</t>
  </si>
  <si>
    <t>Dralasite</t>
  </si>
  <si>
    <t>Human</t>
  </si>
  <si>
    <t>Vrusk</t>
  </si>
  <si>
    <t>Yazirian</t>
  </si>
  <si>
    <t>PSA</t>
  </si>
  <si>
    <t>Equipment</t>
  </si>
  <si>
    <t>Weight</t>
  </si>
  <si>
    <t>Daily</t>
  </si>
  <si>
    <t>5m</t>
  </si>
  <si>
    <t>20m</t>
  </si>
  <si>
    <t>3km</t>
  </si>
  <si>
    <t>10m</t>
  </si>
  <si>
    <t>30m</t>
  </si>
  <si>
    <t>5km</t>
  </si>
  <si>
    <t>15m</t>
  </si>
  <si>
    <t>35m</t>
  </si>
  <si>
    <t>6km</t>
  </si>
  <si>
    <t>4km</t>
  </si>
  <si>
    <t>Lie Detection</t>
  </si>
  <si>
    <t>N/A</t>
  </si>
  <si>
    <t>Biosocial</t>
  </si>
  <si>
    <t>Military</t>
  </si>
  <si>
    <t>Technical</t>
  </si>
  <si>
    <t>Damage</t>
  </si>
  <si>
    <t>Defense</t>
  </si>
  <si>
    <t>Axe</t>
  </si>
  <si>
    <t>Inertia</t>
  </si>
  <si>
    <t>Brass Knuckles</t>
  </si>
  <si>
    <t>Electric Sword</t>
  </si>
  <si>
    <t>Gauss / A-S</t>
  </si>
  <si>
    <t>Knife</t>
  </si>
  <si>
    <t>Nightstick</t>
  </si>
  <si>
    <t>Polearm</t>
  </si>
  <si>
    <t>Shock Gloves</t>
  </si>
  <si>
    <t>Sonic Knife</t>
  </si>
  <si>
    <t>Sonic</t>
  </si>
  <si>
    <t>Sonic Sword</t>
  </si>
  <si>
    <t>Spear</t>
  </si>
  <si>
    <t>Stunstick</t>
  </si>
  <si>
    <t>Sword</t>
  </si>
  <si>
    <t>Vibroknife</t>
  </si>
  <si>
    <t>Whip</t>
  </si>
  <si>
    <t>Cost</t>
  </si>
  <si>
    <t>Electrostunner</t>
  </si>
  <si>
    <t>4d10/stun</t>
  </si>
  <si>
    <t>SEU</t>
  </si>
  <si>
    <t>5/15/-/-</t>
  </si>
  <si>
    <t>Laser Pistol</t>
  </si>
  <si>
    <t>1d10/SEU</t>
  </si>
  <si>
    <t>1 to 10</t>
  </si>
  <si>
    <t>Albedo</t>
  </si>
  <si>
    <t>5/20/50/100/200</t>
  </si>
  <si>
    <t>Rate</t>
  </si>
  <si>
    <t>Range</t>
  </si>
  <si>
    <t>Laser Rifle</t>
  </si>
  <si>
    <t>1 to 20</t>
  </si>
  <si>
    <t>10/40/100/200/400</t>
  </si>
  <si>
    <t>Sonic Disruptor</t>
  </si>
  <si>
    <t>6d10/4d10/2d10/1d10</t>
  </si>
  <si>
    <t>2/10/20/40/-/-</t>
  </si>
  <si>
    <t>Sonic Stunner</t>
  </si>
  <si>
    <t>Stun</t>
  </si>
  <si>
    <t>Sonic / A-S</t>
  </si>
  <si>
    <t>3/10/20/30/50</t>
  </si>
  <si>
    <t>Heavy Laser</t>
  </si>
  <si>
    <t>5 to 20</t>
  </si>
  <si>
    <t>-/100/500/1km/5km</t>
  </si>
  <si>
    <t>Automatic Pistol</t>
  </si>
  <si>
    <t>1d10/5d10</t>
  </si>
  <si>
    <t>3(1)</t>
  </si>
  <si>
    <t>5/15/30/60/150</t>
  </si>
  <si>
    <t>Automatic Rifle</t>
  </si>
  <si>
    <t>20 rounds</t>
  </si>
  <si>
    <t>Ineria</t>
  </si>
  <si>
    <t>10/30/60/120/300</t>
  </si>
  <si>
    <t>Needler Pistol</t>
  </si>
  <si>
    <t>2d10/1d10+sleep</t>
  </si>
  <si>
    <t>10 shots</t>
  </si>
  <si>
    <t>5/10/20/40/100</t>
  </si>
  <si>
    <t>Needler Rifle</t>
  </si>
  <si>
    <t>3d10/1d10+sleep</t>
  </si>
  <si>
    <t>10/20/40/80/200</t>
  </si>
  <si>
    <t>Machine Gun</t>
  </si>
  <si>
    <t>10d10</t>
  </si>
  <si>
    <t>10 bursts</t>
  </si>
  <si>
    <t>-/70/200/500/1km</t>
  </si>
  <si>
    <t>Recoilless Rifle</t>
  </si>
  <si>
    <t>12d10</t>
  </si>
  <si>
    <t>1 shell</t>
  </si>
  <si>
    <t>1/2</t>
  </si>
  <si>
    <t>-/150/1km/2km/3km</t>
  </si>
  <si>
    <t>Gyrojet Pistol</t>
  </si>
  <si>
    <t>2d10</t>
  </si>
  <si>
    <t>10 rounds</t>
  </si>
  <si>
    <t>-/5/50/100/150</t>
  </si>
  <si>
    <t>Gyrojet Rifle</t>
  </si>
  <si>
    <t>3d10</t>
  </si>
  <si>
    <t>-/5/75/150/300</t>
  </si>
  <si>
    <t>Grenade Rifle</t>
  </si>
  <si>
    <t>As grenade</t>
  </si>
  <si>
    <t>1 bullet</t>
  </si>
  <si>
    <t>RS Check</t>
  </si>
  <si>
    <t>-/25/50/100/200</t>
  </si>
  <si>
    <t>Rocket Launcher</t>
  </si>
  <si>
    <t>15d10</t>
  </si>
  <si>
    <t>1 rocket</t>
  </si>
  <si>
    <t>Doze Grenade</t>
  </si>
  <si>
    <t>Sleep</t>
  </si>
  <si>
    <t>STA Check</t>
  </si>
  <si>
    <t>5/10/15/25/50</t>
  </si>
  <si>
    <t>1 grenade</t>
  </si>
  <si>
    <t>Frag. Grenade</t>
  </si>
  <si>
    <t>8d10</t>
  </si>
  <si>
    <t>Incendiary Grenade</t>
  </si>
  <si>
    <t>4d10+1d10x3 Turns</t>
  </si>
  <si>
    <t>Poison Grenade</t>
  </si>
  <si>
    <t>S5/T10 Poison</t>
  </si>
  <si>
    <t>Smoke Grenade</t>
  </si>
  <si>
    <t>-10 to Hit</t>
  </si>
  <si>
    <t>IR</t>
  </si>
  <si>
    <t>Tangler Grenade</t>
  </si>
  <si>
    <t>Entaglement</t>
  </si>
  <si>
    <t>To hit</t>
  </si>
  <si>
    <t>5/10/15/20/25</t>
  </si>
  <si>
    <t>Bow</t>
  </si>
  <si>
    <t>1d10</t>
  </si>
  <si>
    <t>1 arrow</t>
  </si>
  <si>
    <t>5/10/30/75/150/300</t>
  </si>
  <si>
    <t>Musket</t>
  </si>
  <si>
    <t>1 shot</t>
  </si>
  <si>
    <t>5/15/40/70/100</t>
  </si>
  <si>
    <t>5/10/20/30/40</t>
  </si>
  <si>
    <t>4d10</t>
  </si>
  <si>
    <t>2/hit</t>
  </si>
  <si>
    <t>1/hit</t>
  </si>
  <si>
    <t>5d10</t>
  </si>
  <si>
    <t>3d10/stun</t>
  </si>
  <si>
    <t>Type</t>
  </si>
  <si>
    <t>Beam</t>
  </si>
  <si>
    <t>Projectile</t>
  </si>
  <si>
    <t>Gyrojet</t>
  </si>
  <si>
    <t>Grenade</t>
  </si>
  <si>
    <t>Melee</t>
  </si>
  <si>
    <t>Primary Skill Area</t>
  </si>
  <si>
    <t>Skill</t>
  </si>
  <si>
    <t>Beam Weapons</t>
  </si>
  <si>
    <t>Subskill</t>
  </si>
  <si>
    <t>Gyrojet Weapons</t>
  </si>
  <si>
    <t>Melee Weapons</t>
  </si>
  <si>
    <t>Projectile Weapons</t>
  </si>
  <si>
    <t>Demolitions</t>
  </si>
  <si>
    <t>Martial Arts</t>
  </si>
  <si>
    <t>Set Charge</t>
  </si>
  <si>
    <t>Defuse Charge</t>
  </si>
  <si>
    <t>Environmental</t>
  </si>
  <si>
    <t>Analyze Ecosystem</t>
  </si>
  <si>
    <t>Analyze Samples</t>
  </si>
  <si>
    <t>Concealment</t>
  </si>
  <si>
    <t>Find Directions</t>
  </si>
  <si>
    <t>Make Tools / Weapons</t>
  </si>
  <si>
    <t>Naming</t>
  </si>
  <si>
    <t>Stealth</t>
  </si>
  <si>
    <t>Survival</t>
  </si>
  <si>
    <t>Tacking</t>
  </si>
  <si>
    <t>Comments</t>
  </si>
  <si>
    <t>If materials are available</t>
  </si>
  <si>
    <t>SKILLS</t>
  </si>
  <si>
    <t>Medic</t>
  </si>
  <si>
    <t>Activate Freeze Field</t>
  </si>
  <si>
    <t>Administer Drugs</t>
  </si>
  <si>
    <t>Control Infection</t>
  </si>
  <si>
    <t>Cure Disease</t>
  </si>
  <si>
    <t>Diagnosis</t>
  </si>
  <si>
    <t>First Aid</t>
  </si>
  <si>
    <t>Major Surgery</t>
  </si>
  <si>
    <t>Minor Surgery</t>
  </si>
  <si>
    <t>Neutralize Toxin</t>
  </si>
  <si>
    <t>Psychosocial</t>
  </si>
  <si>
    <t>Communication</t>
  </si>
  <si>
    <t>Empathy</t>
  </si>
  <si>
    <t>Hypnosis</t>
  </si>
  <si>
    <t>Persuasion</t>
  </si>
  <si>
    <t>Psycho-Pathology</t>
  </si>
  <si>
    <t>Roll</t>
  </si>
  <si>
    <t>Ability Score</t>
  </si>
  <si>
    <t>Suit Backup</t>
  </si>
  <si>
    <t>Score</t>
  </si>
  <si>
    <t>Elasticity</t>
  </si>
  <si>
    <t>Comprehension</t>
  </si>
  <si>
    <t xml:space="preserve">Battle Rage </t>
  </si>
  <si>
    <t>Gliding</t>
  </si>
  <si>
    <t>Ambidexterity</t>
  </si>
  <si>
    <t>1st Ability</t>
  </si>
  <si>
    <t>2nd Ability</t>
  </si>
  <si>
    <t>No other ability</t>
  </si>
  <si>
    <t>Night Vision</t>
  </si>
  <si>
    <t>3rd Ability</t>
  </si>
  <si>
    <t>Primary Screen</t>
  </si>
  <si>
    <t>Alternate 1</t>
  </si>
  <si>
    <t>Aternate 2</t>
  </si>
  <si>
    <t>Current Exp</t>
  </si>
  <si>
    <t>Exp Earned</t>
  </si>
  <si>
    <t>DEFENSES</t>
  </si>
  <si>
    <t>Details</t>
  </si>
  <si>
    <t>Total Cost</t>
  </si>
  <si>
    <t xml:space="preserve">Gauss </t>
  </si>
  <si>
    <t>2lbs, 1 SEU/min, v. lasers</t>
  </si>
  <si>
    <t>2lbs, 1 SEU/min</t>
  </si>
  <si>
    <t>2lbs,2 SEU/hit, v. electric stun</t>
  </si>
  <si>
    <t>Holo</t>
  </si>
  <si>
    <t>3lbs, 2 SEU/hit, v. inertia</t>
  </si>
  <si>
    <t>2lbs, 1 SEU/min + 2 SEU/hit, v. sonic</t>
  </si>
  <si>
    <t>Albedo Suit</t>
  </si>
  <si>
    <t>1lbs, 100 points v. laser</t>
  </si>
  <si>
    <t>Civilian Skeinsuit</t>
  </si>
  <si>
    <t>1 lbs, 50 points v. ballistic/melee</t>
  </si>
  <si>
    <t>Military Skeinsuit</t>
  </si>
  <si>
    <t>COST</t>
  </si>
  <si>
    <t>1. Choose Race</t>
  </si>
  <si>
    <t>STR/STA</t>
  </si>
  <si>
    <t>DEX/RS</t>
  </si>
  <si>
    <t>INT/LOG</t>
  </si>
  <si>
    <t>PER/LDR</t>
  </si>
  <si>
    <t>KEEP VALUES</t>
  </si>
  <si>
    <t>ROLL TABLE</t>
  </si>
  <si>
    <t>No</t>
  </si>
  <si>
    <t>Yes</t>
  </si>
  <si>
    <t>Starting Cash</t>
  </si>
  <si>
    <t>Starting XP</t>
  </si>
  <si>
    <t>Starting Values</t>
  </si>
  <si>
    <t>Do not fill in shaded areas here or anywhere in this XLS!</t>
  </si>
  <si>
    <t>Computers</t>
  </si>
  <si>
    <t>Bypass Security</t>
  </si>
  <si>
    <t>Subtract program level x 10</t>
  </si>
  <si>
    <t>Subtract bomb level x 10</t>
  </si>
  <si>
    <t>Defeat Security</t>
  </si>
  <si>
    <t>Display Information</t>
  </si>
  <si>
    <t>Interface Computers</t>
  </si>
  <si>
    <t>Manipulate Program</t>
  </si>
  <si>
    <t>Operate Program</t>
  </si>
  <si>
    <t>Repair Computer</t>
  </si>
  <si>
    <t>Write Program</t>
  </si>
  <si>
    <t>Special</t>
  </si>
  <si>
    <t>Subtract computer level x 10</t>
  </si>
  <si>
    <t>Robotics</t>
  </si>
  <si>
    <t>Activate/Deactivate</t>
  </si>
  <si>
    <t>Add Equipment</t>
  </si>
  <si>
    <t>Alter Function</t>
  </si>
  <si>
    <t>Alter Mission</t>
  </si>
  <si>
    <t>Identify</t>
  </si>
  <si>
    <t>List Functions</t>
  </si>
  <si>
    <t>Remove Security Lock</t>
  </si>
  <si>
    <t>Repair Robot</t>
  </si>
  <si>
    <t>Subtract robot level x 10</t>
  </si>
  <si>
    <t>Technician</t>
  </si>
  <si>
    <t>Deactivate Alarms/Defenses</t>
  </si>
  <si>
    <t>Detect Alarms/Defenses</t>
  </si>
  <si>
    <t>Open Locks</t>
  </si>
  <si>
    <t>Operate Machinery</t>
  </si>
  <si>
    <t>Repair Machinery</t>
  </si>
  <si>
    <t>Subtract alarm level x 10</t>
  </si>
  <si>
    <t>PSA Multiplier</t>
  </si>
  <si>
    <t>%</t>
  </si>
  <si>
    <t>LVL</t>
  </si>
  <si>
    <t>XP</t>
  </si>
  <si>
    <t>Steps</t>
  </si>
  <si>
    <t>Getting Started</t>
  </si>
  <si>
    <t>3. Copy the starting values</t>
  </si>
  <si>
    <t>Excel does not easily allow (without a VB Script) a random number generator that doesn't recalculate every time you enter a cell value or take an action.  For this reason you should follow the instructions above carefully.</t>
  </si>
  <si>
    <t>4. Starting Cash and XP?</t>
  </si>
  <si>
    <t>Random Number Generator (RNG)</t>
  </si>
  <si>
    <t>2. Roll on the RNG</t>
  </si>
  <si>
    <t>5. Move on!</t>
  </si>
  <si>
    <t>Ask your gamemaster of use values from the RNG</t>
  </si>
  <si>
    <t>Notes</t>
  </si>
  <si>
    <t>The other sheets in the XLS inherit values from this page -- finish your character!</t>
  </si>
  <si>
    <t>Fill in Race.  Read all shaded area comments</t>
  </si>
  <si>
    <t>All racial modifiers are included in the RNG results</t>
  </si>
  <si>
    <t>Press &lt;COMMAND&gt; and &lt;+&gt; to re-roll on the RNG!  Re-roll until you are happy</t>
  </si>
  <si>
    <t>When you are a happy copy the random numbers onto a piece of paper.  Every time you enter a value in a cell anywhere in this spreadsheet, it will cause the random number generator to recalculate and lose your values.</t>
  </si>
  <si>
    <r>
      <t xml:space="preserve">The XP value in the RNG is </t>
    </r>
    <r>
      <rPr>
        <i/>
        <sz val="11"/>
        <rFont val="Gill Sans"/>
      </rPr>
      <t>not random</t>
    </r>
    <r>
      <rPr>
        <sz val="11"/>
        <rFont val="Gill Sans"/>
      </rPr>
      <t>.  It is set to 10 unless overriden at the gamemaster's orders</t>
    </r>
  </si>
  <si>
    <t>Item</t>
  </si>
  <si>
    <t>Wt</t>
  </si>
  <si>
    <t>EQUIPMENT</t>
  </si>
  <si>
    <t>KITS</t>
  </si>
  <si>
    <t>Robcomkit</t>
  </si>
  <si>
    <t>Allweather Blanket</t>
  </si>
  <si>
    <t>Anti-Shock Implant</t>
  </si>
  <si>
    <t>Chronocom</t>
  </si>
  <si>
    <t>Compass</t>
  </si>
  <si>
    <t>Emergency Beeper</t>
  </si>
  <si>
    <t>Emergency Receiver</t>
  </si>
  <si>
    <t>Envirotent</t>
  </si>
  <si>
    <t>Everflame</t>
  </si>
  <si>
    <t>Explorer Vest</t>
  </si>
  <si>
    <t>Exoskelton</t>
  </si>
  <si>
    <t>Flashlight</t>
  </si>
  <si>
    <t>Food Purifier</t>
  </si>
  <si>
    <t>Freeze Field</t>
  </si>
  <si>
    <t>Gas Mask</t>
  </si>
  <si>
    <t>Grappling Gun</t>
  </si>
  <si>
    <t>Extra Grapple</t>
  </si>
  <si>
    <t>Holoflare</t>
  </si>
  <si>
    <t>Infla-Tent</t>
  </si>
  <si>
    <t>Infra-red Goggles</t>
  </si>
  <si>
    <t>Infra-red Jammer</t>
  </si>
  <si>
    <t>Life Jacket</t>
  </si>
  <si>
    <t>Machete</t>
  </si>
  <si>
    <t>Magni-goggles</t>
  </si>
  <si>
    <t>Parawing</t>
  </si>
  <si>
    <t>Poly-vox</t>
  </si>
  <si>
    <t>Radiophone</t>
  </si>
  <si>
    <t>Rope (50')</t>
  </si>
  <si>
    <t>Solvaway</t>
  </si>
  <si>
    <t>Standard Equipment Pack</t>
  </si>
  <si>
    <t>Subspace Radio</t>
  </si>
  <si>
    <t>Sungoggles</t>
  </si>
  <si>
    <t>Survival Rations</t>
  </si>
  <si>
    <t>Tornadium D-19</t>
  </si>
  <si>
    <t>Toxy-rad Gauge</t>
  </si>
  <si>
    <t>Variable Time</t>
  </si>
  <si>
    <t>Vitasalt Pills</t>
  </si>
  <si>
    <t>Water Distiller, Purifier</t>
  </si>
  <si>
    <t>Water Distiller, Extra Filter</t>
  </si>
  <si>
    <t>Water Pack</t>
  </si>
  <si>
    <t>Parabattery Type 1</t>
  </si>
  <si>
    <t>Parabattery Type 2</t>
  </si>
  <si>
    <t>Parabattery Type 3</t>
  </si>
  <si>
    <t>Parabattery Type 4</t>
  </si>
  <si>
    <t>Generator Type 1</t>
  </si>
  <si>
    <t>Generator Type 2</t>
  </si>
  <si>
    <t>Generator Type 3</t>
  </si>
  <si>
    <t>Generator Type 4</t>
  </si>
  <si>
    <t>Techkit</t>
  </si>
  <si>
    <t>Medkit</t>
  </si>
  <si>
    <t>Envirokit</t>
  </si>
  <si>
    <t>Antibody Plus</t>
  </si>
  <si>
    <t>Antitox</t>
  </si>
  <si>
    <t>Biocort</t>
  </si>
  <si>
    <t>Omnimycin</t>
  </si>
  <si>
    <t>Staydose</t>
  </si>
  <si>
    <t>Simdose</t>
  </si>
  <si>
    <t>Telol</t>
  </si>
  <si>
    <t>TECHKIT</t>
  </si>
  <si>
    <t>Open end wrench–adjustable as socket wrench</t>
  </si>
  <si>
    <t>Insulated wire–10 meters</t>
  </si>
  <si>
    <t>Uninsulated wire–25 meters, can support 2,000 kg</t>
  </si>
  <si>
    <t>Prybar–1 meter plasteel rod, collapses to 10 cm</t>
  </si>
  <si>
    <t>Jack–5,000 kg capacity, .5 meter lift, collapses to 200 cm cube</t>
  </si>
  <si>
    <t>Hammer–large ballpeen high-impact head</t>
  </si>
  <si>
    <t>lon Bonding Tape–10 cm wide x 5 m long, bonds directly to any metal</t>
  </si>
  <si>
    <t>Plastibond–tube of plastic filler, bonds to any plastic surface in one minute; five applications</t>
  </si>
  <si>
    <t>500 nuts, bolts, clamps, screws and nails</t>
  </si>
  <si>
    <t>10 hoses of assorted sizes</t>
  </si>
  <si>
    <t>Electrosnips–powered metal-cutting shears (sheet metal only)</t>
  </si>
  <si>
    <t>Magnegrips–electromagnetic vicegrips</t>
  </si>
  <si>
    <t>Spray lubricant–10 applications of pressurized synthoil</t>
  </si>
  <si>
    <t>Spray waterproofing–will insulate circuits, cloth, etc., from moisture; five applications</t>
  </si>
  <si>
    <t>ROBCOMKIT</t>
  </si>
  <si>
    <t>Electrodriver, ion bonding tape, insulated wire, spray lubricant, electrosnips, spray waterproofing––all the same as those in the techkit.</t>
  </si>
  <si>
    <t>Lasoldering iron–pen-sized laser soldering iron</t>
  </si>
  <si>
    <t>Solder–1-meter roll of conductive soft metal</t>
  </si>
  <si>
    <t>Magnetic by-pass clips–10 small connectors used to short-circuit wiring</t>
  </si>
  <si>
    <t>Breadboard circuits–5 standard boards for mounting robot circuitry</t>
  </si>
  <si>
    <t>Demagnetizer–electrical tool to demagnetize fouled circuits</t>
  </si>
  <si>
    <t>Spray cleaner–spray solvent to remove dirt from the robot's works; 10 applications</t>
  </si>
  <si>
    <t>Miniature flashlight–20 hours of light; magnetized handle</t>
  </si>
  <si>
    <t>Calipers–capable of taking measurements as small as .001 mm</t>
  </si>
  <si>
    <t>Needlenose pliers–similar to 20th century tool</t>
  </si>
  <si>
    <t>Sonic Scalpel–tool for cutting plastic, metal or flesh; makes a smooth, bloodless incision up to 5 mm deep</t>
  </si>
  <si>
    <t>Components–box of transistors, diodes and computer chips for robot circuits</t>
  </si>
  <si>
    <t>Oscilloscope–miniaturized viewer which displays information on electrical flow and other aspects of circuitry</t>
  </si>
  <si>
    <t>Socket wrench–adjustable from 5 mm to 5 cm</t>
  </si>
  <si>
    <t>MEDKIT</t>
  </si>
  <si>
    <t>Local Anesthetic–10 hypo doses to relieve pain</t>
  </si>
  <si>
    <t>Plastiflesh–5 cans of spray which closes up wounds and heals burns</t>
  </si>
  <si>
    <t>Omnimycin–10 hypo doses to control infections</t>
  </si>
  <si>
    <t>Acid neutralizer–1 bottle of liquid to neutralize acids</t>
  </si>
  <si>
    <t>Antiseptic–5 cans of spray to clean and disinfect a skin area</t>
  </si>
  <si>
    <t>Microforceps–adjustable, used to remove shrapnel and bullet fragments from wounds</t>
  </si>
  <si>
    <t>Medscanner–an electrical instrument used to diagnose ailments</t>
  </si>
  <si>
    <t>Spray hypo–syringe used to give shots without a needle</t>
  </si>
  <si>
    <t>Biocort–20 hypo doses to stimulate very fast healing</t>
  </si>
  <si>
    <t>Telol–10 hypo doses of truth serum</t>
  </si>
  <si>
    <t>Stimdose–10 hypo doses to revive unconscious individuals</t>
  </si>
  <si>
    <t>Staydose–10 hypo doses to sustain a dying character for 20 hours</t>
  </si>
  <si>
    <t>Sonic scalpel–same as in robcomkit</t>
  </si>
  <si>
    <t>Laser scalpel–used to make deep incisions</t>
  </si>
  <si>
    <t>Electrosurgeon–a small machine that keeps wounds open and controls bleeding during surgery.</t>
  </si>
  <si>
    <t>Autosurgeon–a special device that allows a medic to operate on himself</t>
  </si>
  <si>
    <t>Antibody plus–10 hypo doses that increase the body's ability to recover from diseases</t>
  </si>
  <si>
    <t>Antitox–10 hypo doses to neutralize poisons</t>
  </si>
  <si>
    <t>ENVIROKIT</t>
  </si>
  <si>
    <t>Bioscanner–This device consists of a network of straps and electrodes connected to a readout gauge. When attached to a plant or animal, living or dead, it can determine what type organism is being examined and whether it is edible or poisonous.</t>
  </si>
  <si>
    <t>Vaporscanner–A vaporscanner is a small device that contains sensitive gas analyzers. It will report on a digital screen what gaseous elements are present, their quantities and whether breathing them is dangerous.</t>
  </si>
  <si>
    <t>Geoscanner–The geoscanner can break down up to a fist-sized sample of rock or soil and analyze it. It will report what minerals the sample contains and whether there are likely to be valuable ore, gas or oil deposits nearby.</t>
  </si>
  <si>
    <t>All values in these tables are auto-derived</t>
  </si>
  <si>
    <t>Just hit print!</t>
  </si>
  <si>
    <t>Suit Worn</t>
  </si>
  <si>
    <t>Pilot</t>
  </si>
  <si>
    <t>Evasion</t>
  </si>
  <si>
    <t>Increase Forward Firing</t>
  </si>
  <si>
    <t>Increase Manuerver Rating</t>
  </si>
  <si>
    <t>Astrogation</t>
  </si>
  <si>
    <t>Requires Computer 6</t>
  </si>
  <si>
    <t>Plot Interstellar Jump</t>
  </si>
  <si>
    <t>Risk Jumping</t>
  </si>
  <si>
    <t>+10% for every hour</t>
  </si>
  <si>
    <t>Find Location</t>
  </si>
  <si>
    <t>Chart New Route</t>
  </si>
  <si>
    <t>-5% per light year</t>
  </si>
  <si>
    <t>Engineering</t>
  </si>
  <si>
    <t>Ship Design</t>
  </si>
  <si>
    <t>Damage Control</t>
  </si>
  <si>
    <t>Stress Analysis</t>
  </si>
  <si>
    <t>Reduction to breakup chance</t>
  </si>
  <si>
    <t>Added to shop DCR</t>
  </si>
  <si>
    <t>Improve Accuracy</t>
  </si>
  <si>
    <t>Selective Targeting</t>
  </si>
  <si>
    <t>Rocket Weapons</t>
  </si>
  <si>
    <t>Requires Beam Weapons 6</t>
  </si>
  <si>
    <t>Energy Weapons</t>
  </si>
  <si>
    <t>Requires Tech 4, Rob 2</t>
  </si>
  <si>
    <t>Requires Proj 4 and Gyro 2</t>
  </si>
  <si>
    <t>Requires Tech 6 and Comp 2</t>
  </si>
  <si>
    <t>Total Weight Carried</t>
  </si>
  <si>
    <t>Spacesuit (non Vrusk)</t>
  </si>
  <si>
    <t>Spacesuit (Vrusk)</t>
  </si>
  <si>
    <t>Spacesuit life support refill</t>
  </si>
  <si>
    <t>Spacesuit armor</t>
  </si>
  <si>
    <t>Rocket Pack (no fuel)</t>
  </si>
  <si>
    <t>Rocket Pack Fuel</t>
  </si>
  <si>
    <t>Magnetic Shoes (pair)</t>
  </si>
  <si>
    <t>Velcro Boots</t>
  </si>
  <si>
    <t>Additional Life Support Pack</t>
  </si>
  <si>
    <t>Extra Patches (2)</t>
  </si>
  <si>
    <t>Laser Power Torch</t>
  </si>
  <si>
    <t>Laser Power Torch Powerpack</t>
  </si>
  <si>
    <t>Engineer's Toolkit (Wellaser, Plastiseal, Insuit)</t>
  </si>
  <si>
    <t>If Human remember to add +5 to an ability of choice when copying into Starting Values!</t>
  </si>
  <si>
    <t>+5 to 1 ability</t>
  </si>
  <si>
    <t>B&amp;W Vision</t>
  </si>
  <si>
    <t>None (Dral.)</t>
  </si>
  <si>
    <t>Alpha Dawn and Knight Hawks equipment and skills are included (not spaceships or Zebulon's Guide)</t>
  </si>
  <si>
    <t>ENTER_VALUE_FROM_RULES</t>
  </si>
  <si>
    <t>FILL_AS NEEDED_PER_ENERGY_OWNED</t>
  </si>
  <si>
    <t>WEAPONS</t>
  </si>
  <si>
    <t>EQUIPMENT LISTS (INCLUDING DEFENSES, GENERAL AND KITS)</t>
  </si>
  <si>
    <t>BASIC DATA</t>
  </si>
  <si>
    <t>PG1</t>
  </si>
  <si>
    <t>PG2</t>
  </si>
  <si>
    <t>PG3</t>
  </si>
  <si>
    <t>PG4</t>
  </si>
  <si>
    <t>PG0</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</si>
</sst>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2"/>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12"/>
      <color theme="0"/>
      <name val="Calibri"/>
      <family val="2"/>
      <scheme val="minor"/>
    </font>
    <font>
      <sz val="8"/>
      <color theme="1"/>
      <name val="Calibri"/>
      <scheme val="minor"/>
    </font>
    <font>
      <sz val="10"/>
      <color rgb="FFFF0000"/>
      <name val="Calibri"/>
      <scheme val="minor"/>
    </font>
    <font>
      <b/>
      <sz val="14"/>
      <color theme="1"/>
      <name val="Gill Sans"/>
    </font>
    <font>
      <b/>
      <sz val="12"/>
      <color theme="1"/>
      <name val="Gill Sans"/>
    </font>
    <font>
      <sz val="12"/>
      <color theme="1"/>
      <name val="Gill Sans"/>
    </font>
    <font>
      <sz val="10"/>
      <color theme="1"/>
      <name val="Gill Sans"/>
    </font>
    <font>
      <sz val="12"/>
      <color rgb="FFFF0000"/>
      <name val="Gill Sans"/>
    </font>
    <font>
      <sz val="12"/>
      <name val="Gill Sans"/>
    </font>
    <font>
      <b/>
      <sz val="12"/>
      <color rgb="FFFF0000"/>
      <name val="Gill Sans"/>
    </font>
    <font>
      <i/>
      <sz val="12"/>
      <color theme="1"/>
      <name val="Gill Sans"/>
    </font>
    <font>
      <sz val="11"/>
      <color theme="1"/>
      <name val="Gill Sans"/>
    </font>
    <font>
      <sz val="11"/>
      <name val="Gill Sans"/>
    </font>
    <font>
      <i/>
      <sz val="11"/>
      <name val="Gill Sans"/>
    </font>
    <font>
      <sz val="8"/>
      <color theme="1"/>
      <name val="Gill Sans"/>
    </font>
    <font>
      <b/>
      <sz val="11"/>
      <color theme="1"/>
      <name val="Gill Sans"/>
    </font>
    <font>
      <sz val="12"/>
      <color theme="1"/>
      <name val="Cambria"/>
    </font>
    <font>
      <sz val="12"/>
      <color rgb="FF000000"/>
      <name val="Calibri"/>
      <scheme val="minor"/>
    </font>
    <font>
      <sz val="12"/>
      <color theme="0" tint="-0.14999847407452621"/>
      <name val="Gill Sans"/>
    </font>
    <font>
      <sz val="11"/>
      <color rgb="FFFF0000"/>
      <name val="Gill Sans"/>
    </font>
    <font>
      <b/>
      <sz val="10"/>
      <color theme="1"/>
      <name val="Gill Sans"/>
    </font>
    <font>
      <b/>
      <sz val="10"/>
      <color rgb="FF000000"/>
      <name val="Gill Sans"/>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FF"/>
        <bgColor rgb="FF000000"/>
      </patternFill>
    </fill>
  </fills>
  <borders count="45">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thin">
        <color auto="1"/>
      </top>
      <bottom style="dashed">
        <color auto="1"/>
      </bottom>
      <diagonal/>
    </border>
    <border>
      <left style="medium">
        <color auto="1"/>
      </left>
      <right/>
      <top style="thin">
        <color auto="1"/>
      </top>
      <bottom/>
      <diagonal/>
    </border>
    <border>
      <left/>
      <right style="medium">
        <color auto="1"/>
      </right>
      <top style="thin">
        <color auto="1"/>
      </top>
      <bottom/>
      <diagonal/>
    </border>
    <border>
      <left/>
      <right/>
      <top style="thin">
        <color auto="1"/>
      </top>
      <bottom/>
      <diagonal/>
    </border>
    <border>
      <left/>
      <right/>
      <top/>
      <bottom style="dashed">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style="thin">
        <color auto="1"/>
      </top>
      <bottom style="medium">
        <color auto="1"/>
      </bottom>
      <diagonal/>
    </border>
    <border>
      <left/>
      <right/>
      <top/>
      <bottom style="thin">
        <color auto="1"/>
      </bottom>
      <diagonal/>
    </border>
    <border>
      <left/>
      <right/>
      <top style="thin">
        <color auto="1"/>
      </top>
      <bottom style="thin">
        <color auto="1"/>
      </bottom>
      <diagonal/>
    </border>
    <border>
      <left/>
      <right style="medium">
        <color auto="1"/>
      </right>
      <top/>
      <bottom style="thin">
        <color auto="1"/>
      </bottom>
      <diagonal/>
    </border>
    <border>
      <left style="medium">
        <color auto="1"/>
      </left>
      <right/>
      <top/>
      <bottom style="thin">
        <color auto="1"/>
      </bottom>
      <diagonal/>
    </border>
    <border>
      <left style="thin">
        <color auto="1"/>
      </left>
      <right/>
      <top/>
      <bottom/>
      <diagonal/>
    </border>
    <border>
      <left style="thin">
        <color auto="1"/>
      </left>
      <right/>
      <top/>
      <bottom style="medium">
        <color auto="1"/>
      </bottom>
      <diagonal/>
    </border>
    <border>
      <left/>
      <right style="thin">
        <color auto="1"/>
      </right>
      <top/>
      <bottom/>
      <diagonal/>
    </border>
    <border>
      <left/>
      <right style="thin">
        <color auto="1"/>
      </right>
      <top/>
      <bottom style="thin">
        <color auto="1"/>
      </bottom>
      <diagonal/>
    </border>
    <border>
      <left style="thin">
        <color auto="1"/>
      </left>
      <right/>
      <top style="medium">
        <color auto="1"/>
      </top>
      <bottom/>
      <diagonal/>
    </border>
    <border>
      <left style="thin">
        <color auto="1"/>
      </left>
      <right/>
      <top/>
      <bottom style="thin">
        <color auto="1"/>
      </bottom>
      <diagonal/>
    </border>
    <border>
      <left/>
      <right style="thin">
        <color auto="1"/>
      </right>
      <top style="thin">
        <color auto="1"/>
      </top>
      <bottom/>
      <diagonal/>
    </border>
    <border>
      <left style="thin">
        <color auto="1"/>
      </left>
      <right/>
      <top style="thin">
        <color auto="1"/>
      </top>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right style="medium">
        <color auto="1"/>
      </right>
      <top style="thin">
        <color auto="1"/>
      </top>
      <bottom style="thin">
        <color auto="1"/>
      </bottom>
      <diagonal/>
    </border>
    <border>
      <left/>
      <right style="thin">
        <color auto="1"/>
      </right>
      <top/>
      <bottom style="medium">
        <color auto="1"/>
      </bottom>
      <diagonal/>
    </border>
  </borders>
  <cellStyleXfs count="352">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246">
    <xf numFmtId="0" fontId="0" fillId="0" borderId="0" xfId="0"/>
    <xf numFmtId="0" fontId="0" fillId="2" borderId="0" xfId="0" applyFill="1" applyBorder="1"/>
    <xf numFmtId="0" fontId="0" fillId="2" borderId="0" xfId="0" applyFill="1"/>
    <xf numFmtId="0" fontId="0" fillId="3" borderId="4" xfId="0" applyFill="1" applyBorder="1"/>
    <xf numFmtId="0" fontId="0" fillId="3" borderId="0" xfId="0" applyFill="1" applyBorder="1"/>
    <xf numFmtId="0" fontId="0" fillId="0" borderId="0" xfId="0" quotePrefix="1"/>
    <xf numFmtId="0" fontId="0" fillId="0" borderId="0" xfId="0" applyAlignment="1">
      <alignment horizontal="left"/>
    </xf>
    <xf numFmtId="0" fontId="0" fillId="0" borderId="0" xfId="0" applyAlignment="1">
      <alignment horizontal="center"/>
    </xf>
    <xf numFmtId="0" fontId="0" fillId="0" borderId="0" xfId="0" quotePrefix="1" applyAlignment="1">
      <alignment horizontal="center"/>
    </xf>
    <xf numFmtId="9" fontId="0" fillId="0" borderId="0" xfId="0" applyNumberFormat="1"/>
    <xf numFmtId="3" fontId="0" fillId="0" borderId="0" xfId="0" applyNumberFormat="1"/>
    <xf numFmtId="0" fontId="5" fillId="0" borderId="0" xfId="0" applyFont="1"/>
    <xf numFmtId="0" fontId="5" fillId="0" borderId="0" xfId="0" applyFont="1" applyFill="1" applyBorder="1"/>
    <xf numFmtId="0" fontId="5" fillId="0" borderId="0" xfId="0" applyFont="1" applyFill="1"/>
    <xf numFmtId="0" fontId="5" fillId="2" borderId="0" xfId="0" applyFont="1" applyFill="1" applyBorder="1"/>
    <xf numFmtId="0" fontId="5" fillId="2" borderId="0" xfId="0" applyFont="1" applyFill="1"/>
    <xf numFmtId="0" fontId="7" fillId="2" borderId="0" xfId="0" applyFont="1" applyFill="1"/>
    <xf numFmtId="0" fontId="5" fillId="2" borderId="0" xfId="0" applyFont="1" applyFill="1" applyAlignment="1">
      <alignment horizontal="center"/>
    </xf>
    <xf numFmtId="0" fontId="9" fillId="3" borderId="3" xfId="0" applyFont="1" applyFill="1" applyBorder="1" applyAlignment="1">
      <alignment horizontal="center"/>
    </xf>
    <xf numFmtId="0" fontId="5" fillId="2" borderId="17" xfId="0" applyFont="1" applyFill="1" applyBorder="1" applyAlignment="1"/>
    <xf numFmtId="0" fontId="0" fillId="3" borderId="5" xfId="0" applyFill="1" applyBorder="1"/>
    <xf numFmtId="0" fontId="0" fillId="3" borderId="8" xfId="0" applyFill="1" applyBorder="1"/>
    <xf numFmtId="0" fontId="0" fillId="0" borderId="0" xfId="0" applyFill="1"/>
    <xf numFmtId="0" fontId="0" fillId="2" borderId="0" xfId="0" applyFill="1" applyAlignment="1"/>
    <xf numFmtId="0" fontId="2" fillId="2" borderId="0" xfId="0" applyFont="1" applyFill="1" applyBorder="1" applyAlignment="1"/>
    <xf numFmtId="0" fontId="0" fillId="2" borderId="0" xfId="0" applyFill="1" applyBorder="1" applyAlignment="1"/>
    <xf numFmtId="0" fontId="0" fillId="2" borderId="0" xfId="0" applyFill="1" applyBorder="1" applyAlignment="1">
      <alignment wrapText="1"/>
    </xf>
    <xf numFmtId="0" fontId="2" fillId="2" borderId="4" xfId="0" applyFont="1" applyFill="1" applyBorder="1" applyAlignment="1"/>
    <xf numFmtId="0" fontId="0" fillId="2" borderId="4" xfId="0" applyFill="1" applyBorder="1" applyAlignment="1"/>
    <xf numFmtId="0" fontId="0" fillId="2" borderId="4" xfId="0" applyFill="1" applyBorder="1" applyAlignment="1">
      <alignment wrapText="1"/>
    </xf>
    <xf numFmtId="0" fontId="0" fillId="0" borderId="0" xfId="0" applyAlignment="1"/>
    <xf numFmtId="0" fontId="9" fillId="3" borderId="1" xfId="0" applyFont="1" applyFill="1" applyBorder="1"/>
    <xf numFmtId="0" fontId="11" fillId="3" borderId="0" xfId="0" applyFont="1" applyFill="1" applyBorder="1" applyAlignment="1"/>
    <xf numFmtId="0" fontId="11" fillId="3" borderId="0" xfId="0" applyFont="1" applyFill="1" applyBorder="1" applyAlignment="1">
      <alignment horizontal="left"/>
    </xf>
    <xf numFmtId="0" fontId="10" fillId="3" borderId="0" xfId="0" applyFont="1" applyFill="1" applyBorder="1" applyAlignment="1">
      <alignment horizontal="left"/>
    </xf>
    <xf numFmtId="0" fontId="10" fillId="2" borderId="0" xfId="0" applyFont="1" applyFill="1" applyAlignment="1">
      <alignment horizontal="left"/>
    </xf>
    <xf numFmtId="0" fontId="10" fillId="2" borderId="0" xfId="0" applyFont="1" applyFill="1"/>
    <xf numFmtId="0" fontId="9" fillId="2" borderId="0" xfId="0" applyFont="1" applyFill="1" applyBorder="1" applyAlignment="1">
      <alignment horizontal="center"/>
    </xf>
    <xf numFmtId="0" fontId="9" fillId="3" borderId="22" xfId="0" applyFont="1" applyFill="1" applyBorder="1" applyAlignment="1">
      <alignment horizontal="center"/>
    </xf>
    <xf numFmtId="0" fontId="10" fillId="2" borderId="0" xfId="0" applyFont="1" applyFill="1" applyBorder="1" applyAlignment="1">
      <alignment horizontal="center"/>
    </xf>
    <xf numFmtId="0" fontId="10" fillId="3" borderId="23" xfId="0" applyFont="1" applyFill="1" applyBorder="1" applyAlignment="1">
      <alignment horizontal="center"/>
    </xf>
    <xf numFmtId="0" fontId="10" fillId="3" borderId="4" xfId="0" applyFont="1" applyFill="1" applyBorder="1" applyAlignment="1">
      <alignment horizontal="center"/>
    </xf>
    <xf numFmtId="0" fontId="10" fillId="2" borderId="5" xfId="0" applyFont="1" applyFill="1" applyBorder="1" applyAlignment="1">
      <alignment horizontal="center"/>
    </xf>
    <xf numFmtId="0" fontId="10" fillId="3" borderId="6" xfId="0" applyFont="1" applyFill="1" applyBorder="1" applyAlignment="1">
      <alignment horizontal="center"/>
    </xf>
    <xf numFmtId="0" fontId="10" fillId="2" borderId="8" xfId="0" applyFont="1" applyFill="1" applyBorder="1" applyAlignment="1">
      <alignment horizontal="center"/>
    </xf>
    <xf numFmtId="0" fontId="12" fillId="3" borderId="24" xfId="0" applyFont="1" applyFill="1" applyBorder="1" applyAlignment="1">
      <alignment horizontal="center"/>
    </xf>
    <xf numFmtId="0" fontId="0" fillId="0" borderId="0" xfId="0" applyFill="1" applyAlignment="1"/>
    <xf numFmtId="0" fontId="0" fillId="0" borderId="0" xfId="0" applyFill="1" applyBorder="1"/>
    <xf numFmtId="0" fontId="15" fillId="3" borderId="4" xfId="0" applyFont="1" applyFill="1" applyBorder="1"/>
    <xf numFmtId="0" fontId="15" fillId="3" borderId="6" xfId="0" applyFont="1" applyFill="1" applyBorder="1" applyAlignment="1"/>
    <xf numFmtId="0" fontId="15" fillId="3" borderId="4" xfId="0" applyFont="1" applyFill="1" applyBorder="1" applyAlignment="1">
      <alignment vertical="top"/>
    </xf>
    <xf numFmtId="0" fontId="17" fillId="3" borderId="0" xfId="0" applyFont="1" applyFill="1" applyBorder="1" applyAlignment="1"/>
    <xf numFmtId="0" fontId="14" fillId="3" borderId="1" xfId="0" applyFont="1" applyFill="1" applyBorder="1"/>
    <xf numFmtId="0" fontId="10" fillId="3" borderId="2" xfId="0" applyFont="1" applyFill="1" applyBorder="1"/>
    <xf numFmtId="0" fontId="10" fillId="3" borderId="3" xfId="0" applyFont="1" applyFill="1" applyBorder="1"/>
    <xf numFmtId="0" fontId="17" fillId="3" borderId="4" xfId="0" applyFont="1" applyFill="1" applyBorder="1" applyAlignment="1"/>
    <xf numFmtId="0" fontId="17" fillId="3" borderId="5" xfId="0" applyFont="1" applyFill="1" applyBorder="1" applyAlignment="1"/>
    <xf numFmtId="0" fontId="10" fillId="2" borderId="0" xfId="0" applyFont="1" applyFill="1" applyBorder="1"/>
    <xf numFmtId="0" fontId="10" fillId="3" borderId="6" xfId="0" applyFont="1" applyFill="1" applyBorder="1"/>
    <xf numFmtId="0" fontId="10" fillId="3" borderId="2" xfId="0" applyFont="1" applyFill="1" applyBorder="1" applyAlignment="1"/>
    <xf numFmtId="0" fontId="16" fillId="3" borderId="4" xfId="0" applyFont="1" applyFill="1" applyBorder="1"/>
    <xf numFmtId="0" fontId="16" fillId="2" borderId="25" xfId="0" applyFont="1" applyFill="1" applyBorder="1"/>
    <xf numFmtId="0" fontId="16" fillId="3" borderId="0" xfId="0" applyFont="1" applyFill="1" applyBorder="1"/>
    <xf numFmtId="0" fontId="16" fillId="3" borderId="6" xfId="0" applyFont="1" applyFill="1" applyBorder="1"/>
    <xf numFmtId="0" fontId="16" fillId="2" borderId="7" xfId="0" applyFont="1" applyFill="1" applyBorder="1"/>
    <xf numFmtId="0" fontId="16" fillId="2" borderId="4" xfId="0" applyFont="1" applyFill="1" applyBorder="1"/>
    <xf numFmtId="0" fontId="16" fillId="3" borderId="10" xfId="0" applyFont="1" applyFill="1" applyBorder="1"/>
    <xf numFmtId="0" fontId="16" fillId="2" borderId="6" xfId="0" applyFont="1" applyFill="1" applyBorder="1"/>
    <xf numFmtId="0" fontId="16" fillId="2" borderId="0" xfId="0" applyFont="1" applyFill="1" applyBorder="1" applyAlignment="1"/>
    <xf numFmtId="0" fontId="16" fillId="3" borderId="28" xfId="0" applyFont="1" applyFill="1" applyBorder="1"/>
    <xf numFmtId="0" fontId="16" fillId="2" borderId="25" xfId="0" applyFont="1" applyFill="1" applyBorder="1" applyAlignment="1"/>
    <xf numFmtId="0" fontId="16" fillId="2" borderId="0" xfId="0" applyFont="1" applyFill="1" applyBorder="1"/>
    <xf numFmtId="0" fontId="16" fillId="3" borderId="4" xfId="0" applyFont="1" applyFill="1" applyBorder="1" applyAlignment="1">
      <alignment horizontal="center"/>
    </xf>
    <xf numFmtId="0" fontId="16" fillId="3" borderId="13" xfId="0" applyFont="1" applyFill="1" applyBorder="1" applyAlignment="1">
      <alignment horizontal="center"/>
    </xf>
    <xf numFmtId="0" fontId="16" fillId="3" borderId="25" xfId="0" applyFont="1" applyFill="1" applyBorder="1" applyAlignment="1">
      <alignment horizontal="center"/>
    </xf>
    <xf numFmtId="0" fontId="16" fillId="2" borderId="27" xfId="0" applyFont="1" applyFill="1" applyBorder="1" applyAlignment="1">
      <alignment horizontal="center"/>
    </xf>
    <xf numFmtId="0" fontId="16" fillId="3" borderId="9" xfId="0" applyFont="1" applyFill="1" applyBorder="1" applyAlignment="1">
      <alignment horizontal="center"/>
    </xf>
    <xf numFmtId="0" fontId="16" fillId="3" borderId="26" xfId="0" applyFont="1" applyFill="1" applyBorder="1" applyAlignment="1">
      <alignment horizontal="center"/>
    </xf>
    <xf numFmtId="0" fontId="16" fillId="3" borderId="6" xfId="0" applyFont="1" applyFill="1" applyBorder="1" applyAlignment="1">
      <alignment horizontal="center"/>
    </xf>
    <xf numFmtId="0" fontId="16" fillId="3" borderId="4" xfId="0" applyFont="1" applyFill="1" applyBorder="1" applyAlignment="1"/>
    <xf numFmtId="0" fontId="16" fillId="2" borderId="5" xfId="0" applyFont="1" applyFill="1" applyBorder="1"/>
    <xf numFmtId="0" fontId="16" fillId="2" borderId="8" xfId="0" applyFont="1" applyFill="1" applyBorder="1"/>
    <xf numFmtId="0" fontId="0" fillId="3" borderId="7" xfId="0" applyFill="1" applyBorder="1"/>
    <xf numFmtId="0" fontId="10" fillId="3" borderId="7" xfId="0" applyFont="1" applyFill="1" applyBorder="1"/>
    <xf numFmtId="0" fontId="20" fillId="3" borderId="4" xfId="0" applyFont="1" applyFill="1" applyBorder="1" applyAlignment="1">
      <alignment horizontal="left"/>
    </xf>
    <xf numFmtId="0" fontId="20" fillId="3" borderId="0" xfId="0" applyFont="1" applyFill="1" applyBorder="1" applyAlignment="1">
      <alignment horizontal="left"/>
    </xf>
    <xf numFmtId="0" fontId="20" fillId="3" borderId="5" xfId="0" applyFont="1" applyFill="1" applyBorder="1" applyAlignment="1">
      <alignment horizontal="left"/>
    </xf>
    <xf numFmtId="0" fontId="16" fillId="3" borderId="5" xfId="0" applyFont="1" applyFill="1" applyBorder="1"/>
    <xf numFmtId="0" fontId="16" fillId="3" borderId="7" xfId="0" applyFont="1" applyFill="1" applyBorder="1"/>
    <xf numFmtId="0" fontId="16" fillId="3" borderId="8" xfId="0" applyFont="1" applyFill="1" applyBorder="1"/>
    <xf numFmtId="0" fontId="22" fillId="0" borderId="0" xfId="0" applyFont="1" applyFill="1" applyAlignment="1">
      <alignment vertical="center"/>
    </xf>
    <xf numFmtId="0" fontId="22" fillId="0" borderId="0" xfId="0" applyFont="1" applyFill="1" applyAlignment="1">
      <alignment horizontal="center" vertical="center"/>
    </xf>
    <xf numFmtId="0" fontId="22" fillId="0" borderId="0" xfId="0" applyFont="1" applyFill="1" applyAlignment="1">
      <alignment horizontal="right" vertical="center"/>
    </xf>
    <xf numFmtId="3" fontId="22" fillId="0" borderId="0" xfId="0" applyNumberFormat="1" applyFont="1" applyFill="1" applyAlignment="1">
      <alignment horizontal="right" vertical="center"/>
    </xf>
    <xf numFmtId="0" fontId="0" fillId="0" borderId="0" xfId="0" applyFont="1"/>
    <xf numFmtId="0" fontId="21" fillId="0" borderId="0" xfId="0" applyFont="1" applyAlignment="1">
      <alignment vertical="center"/>
    </xf>
    <xf numFmtId="0" fontId="2" fillId="0" borderId="0" xfId="0" applyFont="1" applyAlignment="1"/>
    <xf numFmtId="0" fontId="2" fillId="2" borderId="0" xfId="0" applyFont="1" applyFill="1" applyAlignment="1"/>
    <xf numFmtId="0" fontId="13" fillId="3" borderId="4" xfId="0" applyFont="1" applyFill="1" applyBorder="1"/>
    <xf numFmtId="0" fontId="13" fillId="3" borderId="0" xfId="0" applyFont="1" applyFill="1" applyBorder="1"/>
    <xf numFmtId="0" fontId="23" fillId="3" borderId="0" xfId="0" applyFont="1" applyFill="1" applyBorder="1"/>
    <xf numFmtId="0" fontId="23" fillId="3" borderId="5" xfId="0" applyFont="1" applyFill="1" applyBorder="1"/>
    <xf numFmtId="0" fontId="13" fillId="3" borderId="6" xfId="0" applyFont="1" applyFill="1" applyBorder="1"/>
    <xf numFmtId="0" fontId="13" fillId="3" borderId="7" xfId="0" applyFont="1" applyFill="1" applyBorder="1"/>
    <xf numFmtId="0" fontId="23" fillId="3" borderId="7" xfId="0" applyFont="1" applyFill="1" applyBorder="1"/>
    <xf numFmtId="0" fontId="23" fillId="3" borderId="8" xfId="0" applyFont="1" applyFill="1" applyBorder="1"/>
    <xf numFmtId="0" fontId="10" fillId="3" borderId="0" xfId="0" applyFont="1" applyFill="1" applyBorder="1" applyAlignment="1">
      <alignment horizontal="center"/>
    </xf>
    <xf numFmtId="0" fontId="9" fillId="3" borderId="37" xfId="0" applyFont="1" applyFill="1" applyBorder="1"/>
    <xf numFmtId="0" fontId="9" fillId="3" borderId="26" xfId="0" applyFont="1" applyFill="1" applyBorder="1"/>
    <xf numFmtId="0" fontId="9" fillId="3" borderId="26" xfId="0" applyFont="1" applyFill="1" applyBorder="1" applyAlignment="1">
      <alignment horizontal="center"/>
    </xf>
    <xf numFmtId="0" fontId="9" fillId="3" borderId="38" xfId="0" applyFont="1" applyFill="1" applyBorder="1"/>
    <xf numFmtId="0" fontId="11" fillId="2" borderId="37" xfId="0" applyFont="1" applyFill="1" applyBorder="1" applyAlignment="1">
      <alignment vertical="top"/>
    </xf>
    <xf numFmtId="0" fontId="11" fillId="3" borderId="26" xfId="0" applyFont="1" applyFill="1" applyBorder="1" applyAlignment="1">
      <alignment horizontal="center" vertical="top"/>
    </xf>
    <xf numFmtId="0" fontId="11" fillId="3" borderId="26" xfId="0" applyFont="1" applyFill="1" applyBorder="1" applyAlignment="1">
      <alignment horizontal="left" vertical="top"/>
    </xf>
    <xf numFmtId="9" fontId="11" fillId="3" borderId="26" xfId="53" applyFont="1" applyFill="1" applyBorder="1" applyAlignment="1">
      <alignment horizontal="center" vertical="top"/>
    </xf>
    <xf numFmtId="0" fontId="11" fillId="3" borderId="38" xfId="0" applyFont="1" applyFill="1" applyBorder="1" applyAlignment="1">
      <alignment horizontal="left" vertical="top"/>
    </xf>
    <xf numFmtId="0" fontId="11" fillId="3" borderId="0" xfId="0" applyFont="1" applyFill="1" applyBorder="1" applyAlignment="1">
      <alignment horizontal="left" vertical="top"/>
    </xf>
    <xf numFmtId="9" fontId="11" fillId="3" borderId="0" xfId="0" applyNumberFormat="1" applyFont="1" applyFill="1" applyBorder="1" applyAlignment="1">
      <alignment horizontal="center" vertical="top"/>
    </xf>
    <xf numFmtId="0" fontId="11" fillId="3" borderId="18" xfId="0" applyFont="1" applyFill="1" applyBorder="1" applyAlignment="1">
      <alignment horizontal="left" vertical="top"/>
    </xf>
    <xf numFmtId="0" fontId="11" fillId="3" borderId="12" xfId="0" applyFont="1" applyFill="1" applyBorder="1" applyAlignment="1">
      <alignment horizontal="left" vertical="top"/>
    </xf>
    <xf numFmtId="9" fontId="11" fillId="3" borderId="12" xfId="0" applyNumberFormat="1" applyFont="1" applyFill="1" applyBorder="1" applyAlignment="1">
      <alignment horizontal="center" vertical="top"/>
    </xf>
    <xf numFmtId="0" fontId="11" fillId="3" borderId="40" xfId="0" applyFont="1" applyFill="1" applyBorder="1" applyAlignment="1">
      <alignment horizontal="left" vertical="top"/>
    </xf>
    <xf numFmtId="0" fontId="11" fillId="3" borderId="25" xfId="0" applyFont="1" applyFill="1" applyBorder="1" applyAlignment="1">
      <alignment horizontal="left" vertical="top"/>
    </xf>
    <xf numFmtId="9" fontId="11" fillId="3" borderId="25" xfId="0" applyNumberFormat="1" applyFont="1" applyFill="1" applyBorder="1" applyAlignment="1">
      <alignment horizontal="center" vertical="top"/>
    </xf>
    <xf numFmtId="0" fontId="11" fillId="3" borderId="42" xfId="0" applyFont="1" applyFill="1" applyBorder="1" applyAlignment="1">
      <alignment horizontal="left" vertical="top"/>
    </xf>
    <xf numFmtId="0" fontId="11" fillId="3" borderId="40" xfId="0" applyFont="1" applyFill="1" applyBorder="1" applyAlignment="1">
      <alignment vertical="top" wrapText="1"/>
    </xf>
    <xf numFmtId="0" fontId="11" fillId="3" borderId="18" xfId="0" applyFont="1" applyFill="1" applyBorder="1" applyAlignment="1">
      <alignment vertical="top" wrapText="1"/>
    </xf>
    <xf numFmtId="0" fontId="11" fillId="3" borderId="18" xfId="0" quotePrefix="1" applyFont="1" applyFill="1" applyBorder="1" applyAlignment="1">
      <alignment horizontal="left" vertical="top"/>
    </xf>
    <xf numFmtId="0" fontId="11" fillId="3" borderId="42" xfId="0" quotePrefix="1" applyFont="1" applyFill="1" applyBorder="1" applyAlignment="1">
      <alignment horizontal="left" vertical="top"/>
    </xf>
    <xf numFmtId="0" fontId="11" fillId="3" borderId="0" xfId="0" quotePrefix="1" applyFont="1" applyFill="1" applyBorder="1" applyAlignment="1">
      <alignment horizontal="left" vertical="top"/>
    </xf>
    <xf numFmtId="0" fontId="11" fillId="3" borderId="42" xfId="0" applyFont="1" applyFill="1" applyBorder="1" applyAlignment="1">
      <alignment vertical="top" wrapText="1"/>
    </xf>
    <xf numFmtId="0" fontId="11" fillId="3" borderId="20" xfId="0" applyFont="1" applyFill="1" applyBorder="1" applyAlignment="1">
      <alignment horizontal="left" vertical="top"/>
    </xf>
    <xf numFmtId="9" fontId="11" fillId="3" borderId="20" xfId="0" applyNumberFormat="1" applyFont="1" applyFill="1" applyBorder="1" applyAlignment="1">
      <alignment horizontal="center" vertical="top"/>
    </xf>
    <xf numFmtId="0" fontId="11" fillId="3" borderId="21" xfId="0" applyFont="1" applyFill="1" applyBorder="1" applyAlignment="1">
      <alignment horizontal="left" vertical="top"/>
    </xf>
    <xf numFmtId="1" fontId="16" fillId="3" borderId="8" xfId="0" applyNumberFormat="1" applyFont="1" applyFill="1" applyBorder="1" applyAlignment="1">
      <alignment horizontal="center"/>
    </xf>
    <xf numFmtId="0" fontId="5" fillId="0" borderId="0" xfId="0" applyFont="1" applyAlignment="1">
      <alignment horizontal="center"/>
    </xf>
    <xf numFmtId="9" fontId="16" fillId="3" borderId="0" xfId="53" applyFont="1" applyFill="1" applyBorder="1"/>
    <xf numFmtId="9" fontId="0" fillId="0" borderId="0" xfId="53" applyFont="1"/>
    <xf numFmtId="9" fontId="16" fillId="3" borderId="7" xfId="53" applyFont="1" applyFill="1" applyBorder="1"/>
    <xf numFmtId="0" fontId="17" fillId="3" borderId="6" xfId="0" applyFont="1" applyFill="1" applyBorder="1" applyAlignment="1">
      <alignment horizontal="left"/>
    </xf>
    <xf numFmtId="0" fontId="17" fillId="3" borderId="7" xfId="0" applyFont="1" applyFill="1" applyBorder="1" applyAlignment="1">
      <alignment horizontal="left"/>
    </xf>
    <xf numFmtId="0" fontId="17" fillId="3" borderId="8" xfId="0" applyFont="1" applyFill="1" applyBorder="1" applyAlignment="1">
      <alignment horizontal="left"/>
    </xf>
    <xf numFmtId="0" fontId="11" fillId="3" borderId="0" xfId="0" applyFont="1" applyFill="1" applyBorder="1" applyAlignment="1">
      <alignment horizontal="left"/>
    </xf>
    <xf numFmtId="0" fontId="11" fillId="3" borderId="5" xfId="0" applyFont="1" applyFill="1" applyBorder="1" applyAlignment="1">
      <alignment horizontal="left"/>
    </xf>
    <xf numFmtId="0" fontId="10" fillId="2" borderId="0" xfId="0" applyFont="1" applyFill="1" applyBorder="1" applyAlignment="1">
      <alignment horizontal="center"/>
    </xf>
    <xf numFmtId="0" fontId="9" fillId="3" borderId="2" xfId="0" applyFont="1" applyFill="1" applyBorder="1" applyAlignment="1">
      <alignment horizontal="left"/>
    </xf>
    <xf numFmtId="0" fontId="9" fillId="3" borderId="3" xfId="0" applyFont="1" applyFill="1" applyBorder="1" applyAlignment="1">
      <alignment horizontal="left"/>
    </xf>
    <xf numFmtId="0" fontId="11" fillId="3" borderId="0" xfId="0" applyFont="1" applyFill="1" applyBorder="1" applyAlignment="1">
      <alignment horizontal="left" wrapText="1"/>
    </xf>
    <xf numFmtId="0" fontId="11" fillId="3" borderId="5" xfId="0" applyFont="1" applyFill="1" applyBorder="1" applyAlignment="1">
      <alignment horizontal="left" wrapText="1"/>
    </xf>
    <xf numFmtId="0" fontId="11" fillId="3" borderId="7" xfId="0" applyFont="1" applyFill="1" applyBorder="1" applyAlignment="1">
      <alignment horizontal="left"/>
    </xf>
    <xf numFmtId="0" fontId="11" fillId="3" borderId="8" xfId="0" applyFont="1" applyFill="1" applyBorder="1" applyAlignment="1">
      <alignment horizontal="left"/>
    </xf>
    <xf numFmtId="0" fontId="9" fillId="3" borderId="1" xfId="0" applyFont="1" applyFill="1" applyBorder="1" applyAlignment="1">
      <alignment horizontal="center"/>
    </xf>
    <xf numFmtId="0" fontId="9" fillId="3" borderId="3" xfId="0" applyFont="1" applyFill="1" applyBorder="1" applyAlignment="1">
      <alignment horizontal="center"/>
    </xf>
    <xf numFmtId="0" fontId="16" fillId="3" borderId="4" xfId="0" applyFont="1" applyFill="1" applyBorder="1" applyAlignment="1">
      <alignment horizontal="left" wrapText="1"/>
    </xf>
    <xf numFmtId="0" fontId="16" fillId="3" borderId="0" xfId="0" applyFont="1" applyFill="1" applyBorder="1" applyAlignment="1">
      <alignment horizontal="left" wrapText="1"/>
    </xf>
    <xf numFmtId="0" fontId="16" fillId="3" borderId="5" xfId="0" applyFont="1" applyFill="1" applyBorder="1" applyAlignment="1">
      <alignment horizontal="left" wrapText="1"/>
    </xf>
    <xf numFmtId="0" fontId="8" fillId="0" borderId="0" xfId="0" applyFont="1" applyAlignment="1">
      <alignment horizontal="center"/>
    </xf>
    <xf numFmtId="0" fontId="9" fillId="3" borderId="2" xfId="0" applyFont="1" applyFill="1" applyBorder="1" applyAlignment="1">
      <alignment horizontal="center"/>
    </xf>
    <xf numFmtId="0" fontId="16" fillId="3" borderId="25" xfId="0" applyFont="1" applyFill="1" applyBorder="1" applyAlignment="1">
      <alignment horizontal="center"/>
    </xf>
    <xf numFmtId="0" fontId="16" fillId="3" borderId="27" xfId="0" applyFont="1" applyFill="1" applyBorder="1" applyAlignment="1">
      <alignment horizontal="center"/>
    </xf>
    <xf numFmtId="0" fontId="16" fillId="2" borderId="25" xfId="0" applyFont="1" applyFill="1" applyBorder="1" applyAlignment="1">
      <alignment horizontal="center"/>
    </xf>
    <xf numFmtId="0" fontId="16" fillId="2" borderId="27" xfId="0" applyFont="1" applyFill="1" applyBorder="1" applyAlignment="1">
      <alignment horizontal="center"/>
    </xf>
    <xf numFmtId="0" fontId="16" fillId="3" borderId="7" xfId="0" applyFont="1" applyFill="1" applyBorder="1" applyAlignment="1">
      <alignment horizontal="center"/>
    </xf>
    <xf numFmtId="0" fontId="16" fillId="3" borderId="8" xfId="0" applyFont="1" applyFill="1" applyBorder="1" applyAlignment="1">
      <alignment horizontal="center"/>
    </xf>
    <xf numFmtId="0" fontId="16" fillId="3" borderId="12" xfId="0" applyFont="1" applyFill="1" applyBorder="1" applyAlignment="1">
      <alignment horizontal="center"/>
    </xf>
    <xf numFmtId="0" fontId="16" fillId="3" borderId="11" xfId="0" applyFont="1" applyFill="1" applyBorder="1" applyAlignment="1">
      <alignment horizontal="center"/>
    </xf>
    <xf numFmtId="0" fontId="16" fillId="3" borderId="0" xfId="0" applyFont="1" applyFill="1" applyBorder="1" applyAlignment="1">
      <alignment horizontal="center"/>
    </xf>
    <xf numFmtId="0" fontId="16" fillId="3" borderId="5" xfId="0" applyFont="1" applyFill="1" applyBorder="1" applyAlignment="1">
      <alignment horizontal="center"/>
    </xf>
    <xf numFmtId="0" fontId="10" fillId="3" borderId="2" xfId="0" applyFont="1" applyFill="1" applyBorder="1" applyAlignment="1">
      <alignment horizontal="center"/>
    </xf>
    <xf numFmtId="0" fontId="10" fillId="3" borderId="3" xfId="0" applyFont="1" applyFill="1" applyBorder="1" applyAlignment="1">
      <alignment horizontal="center"/>
    </xf>
    <xf numFmtId="0" fontId="10" fillId="3" borderId="7" xfId="0" applyFont="1" applyFill="1" applyBorder="1" applyAlignment="1">
      <alignment horizontal="center"/>
    </xf>
    <xf numFmtId="0" fontId="10" fillId="3" borderId="8" xfId="0" applyFont="1" applyFill="1" applyBorder="1" applyAlignment="1">
      <alignment horizontal="center"/>
    </xf>
    <xf numFmtId="0" fontId="10" fillId="3" borderId="0" xfId="0" applyFont="1" applyFill="1" applyBorder="1" applyAlignment="1">
      <alignment horizontal="center"/>
    </xf>
    <xf numFmtId="0" fontId="10" fillId="3" borderId="5" xfId="0" applyFont="1" applyFill="1" applyBorder="1" applyAlignment="1">
      <alignment horizontal="center"/>
    </xf>
    <xf numFmtId="1" fontId="16" fillId="3" borderId="7" xfId="0" applyNumberFormat="1" applyFont="1" applyFill="1" applyBorder="1" applyAlignment="1">
      <alignment horizontal="center"/>
    </xf>
    <xf numFmtId="0" fontId="16" fillId="2" borderId="5" xfId="0" applyFont="1" applyFill="1" applyBorder="1" applyAlignment="1">
      <alignment horizontal="center"/>
    </xf>
    <xf numFmtId="0" fontId="16" fillId="2" borderId="11" xfId="0" applyFont="1" applyFill="1" applyBorder="1" applyAlignment="1">
      <alignment horizontal="center"/>
    </xf>
    <xf numFmtId="0" fontId="16" fillId="2" borderId="4" xfId="0" applyFont="1" applyFill="1" applyBorder="1" applyAlignment="1">
      <alignment horizontal="center"/>
    </xf>
    <xf numFmtId="0" fontId="16" fillId="2" borderId="0" xfId="0" applyFont="1" applyFill="1" applyBorder="1" applyAlignment="1">
      <alignment horizontal="center"/>
    </xf>
    <xf numFmtId="0" fontId="16" fillId="2" borderId="7" xfId="0" applyFont="1" applyFill="1" applyBorder="1" applyAlignment="1">
      <alignment horizontal="center"/>
    </xf>
    <xf numFmtId="0" fontId="16" fillId="2" borderId="8" xfId="0" applyFont="1" applyFill="1" applyBorder="1" applyAlignment="1">
      <alignment horizontal="center"/>
    </xf>
    <xf numFmtId="0" fontId="0" fillId="2" borderId="0"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0" fillId="2" borderId="6" xfId="0" applyFill="1" applyBorder="1" applyAlignment="1">
      <alignment horizontal="center"/>
    </xf>
    <xf numFmtId="0" fontId="5" fillId="2" borderId="0" xfId="0" applyFont="1" applyFill="1" applyAlignment="1">
      <alignment horizontal="center"/>
    </xf>
    <xf numFmtId="0" fontId="5" fillId="2" borderId="17" xfId="0" applyFont="1" applyFill="1" applyBorder="1" applyAlignment="1">
      <alignment horizontal="center"/>
    </xf>
    <xf numFmtId="0" fontId="11" fillId="3" borderId="0" xfId="0" applyFont="1" applyFill="1" applyBorder="1" applyAlignment="1">
      <alignment horizontal="left" vertical="top"/>
    </xf>
    <xf numFmtId="0" fontId="11" fillId="3" borderId="12" xfId="0" applyFont="1" applyFill="1" applyBorder="1" applyAlignment="1">
      <alignment horizontal="left" vertical="top"/>
    </xf>
    <xf numFmtId="0" fontId="11" fillId="3" borderId="0" xfId="0" applyFont="1" applyFill="1" applyBorder="1" applyAlignment="1">
      <alignment horizontal="center" vertical="top"/>
    </xf>
    <xf numFmtId="0" fontId="11" fillId="2" borderId="17" xfId="0" applyFont="1" applyFill="1" applyBorder="1" applyAlignment="1">
      <alignment horizontal="center" vertical="top"/>
    </xf>
    <xf numFmtId="0" fontId="11" fillId="2" borderId="39" xfId="0" applyFont="1" applyFill="1" applyBorder="1" applyAlignment="1">
      <alignment horizontal="center" vertical="top"/>
    </xf>
    <xf numFmtId="0" fontId="11" fillId="3" borderId="12" xfId="0" applyFont="1" applyFill="1" applyBorder="1" applyAlignment="1">
      <alignment horizontal="center" vertical="top"/>
    </xf>
    <xf numFmtId="0" fontId="11" fillId="3" borderId="25" xfId="0" applyFont="1" applyFill="1" applyBorder="1" applyAlignment="1">
      <alignment horizontal="left" vertical="top"/>
    </xf>
    <xf numFmtId="0" fontId="11" fillId="3" borderId="25" xfId="0" applyFont="1" applyFill="1" applyBorder="1" applyAlignment="1">
      <alignment horizontal="center" vertical="top"/>
    </xf>
    <xf numFmtId="0" fontId="11" fillId="2" borderId="41" xfId="0" applyFont="1" applyFill="1" applyBorder="1" applyAlignment="1">
      <alignment horizontal="center" vertical="top"/>
    </xf>
    <xf numFmtId="0" fontId="8" fillId="3" borderId="14" xfId="0" applyFont="1" applyFill="1" applyBorder="1" applyAlignment="1">
      <alignment horizontal="center"/>
    </xf>
    <xf numFmtId="0" fontId="8" fillId="3" borderId="15" xfId="0" applyFont="1" applyFill="1" applyBorder="1" applyAlignment="1">
      <alignment horizontal="center"/>
    </xf>
    <xf numFmtId="0" fontId="8" fillId="3" borderId="16" xfId="0" applyFont="1" applyFill="1" applyBorder="1" applyAlignment="1">
      <alignment horizontal="center"/>
    </xf>
    <xf numFmtId="0" fontId="10" fillId="0" borderId="26" xfId="0" applyFont="1" applyBorder="1" applyAlignment="1">
      <alignment horizontal="center"/>
    </xf>
    <xf numFmtId="0" fontId="10" fillId="0" borderId="38" xfId="0" applyFont="1" applyBorder="1" applyAlignment="1">
      <alignment horizontal="center"/>
    </xf>
    <xf numFmtId="0" fontId="9" fillId="3" borderId="37" xfId="0" applyFont="1" applyFill="1" applyBorder="1" applyAlignment="1">
      <alignment horizontal="center"/>
    </xf>
    <xf numFmtId="0" fontId="9" fillId="3" borderId="26" xfId="0" applyFont="1" applyFill="1" applyBorder="1" applyAlignment="1">
      <alignment horizontal="center"/>
    </xf>
    <xf numFmtId="0" fontId="11" fillId="3" borderId="20" xfId="0" applyFont="1" applyFill="1" applyBorder="1" applyAlignment="1">
      <alignment horizontal="center" vertical="top"/>
    </xf>
    <xf numFmtId="0" fontId="19" fillId="3" borderId="4" xfId="0" applyFont="1" applyFill="1" applyBorder="1" applyAlignment="1">
      <alignment horizontal="left" wrapText="1"/>
    </xf>
    <xf numFmtId="0" fontId="19" fillId="3" borderId="0" xfId="0" applyFont="1" applyFill="1" applyBorder="1" applyAlignment="1">
      <alignment horizontal="left" wrapText="1"/>
    </xf>
    <xf numFmtId="0" fontId="19" fillId="3" borderId="31" xfId="0" applyFont="1" applyFill="1" applyBorder="1" applyAlignment="1">
      <alignment horizontal="left" wrapText="1"/>
    </xf>
    <xf numFmtId="0" fontId="19" fillId="3" borderId="28" xfId="0" applyFont="1" applyFill="1" applyBorder="1" applyAlignment="1">
      <alignment wrapText="1"/>
    </xf>
    <xf numFmtId="0" fontId="19" fillId="3" borderId="25" xfId="0" applyFont="1" applyFill="1" applyBorder="1" applyAlignment="1">
      <alignment wrapText="1"/>
    </xf>
    <xf numFmtId="0" fontId="19" fillId="3" borderId="32" xfId="0" applyFont="1" applyFill="1" applyBorder="1" applyAlignment="1">
      <alignment wrapText="1"/>
    </xf>
    <xf numFmtId="0" fontId="9" fillId="3" borderId="33" xfId="0" applyFont="1" applyFill="1" applyBorder="1" applyAlignment="1">
      <alignment horizontal="center"/>
    </xf>
    <xf numFmtId="0" fontId="19" fillId="3" borderId="29" xfId="0" applyFont="1" applyFill="1" applyBorder="1" applyAlignment="1">
      <alignment horizontal="left" wrapText="1"/>
    </xf>
    <xf numFmtId="0" fontId="19" fillId="3" borderId="5" xfId="0" applyFont="1" applyFill="1" applyBorder="1" applyAlignment="1">
      <alignment horizontal="left" wrapText="1"/>
    </xf>
    <xf numFmtId="0" fontId="19" fillId="3" borderId="34" xfId="0" applyFont="1" applyFill="1" applyBorder="1" applyAlignment="1">
      <alignment horizontal="left" wrapText="1"/>
    </xf>
    <xf numFmtId="0" fontId="19" fillId="3" borderId="25" xfId="0" applyFont="1" applyFill="1" applyBorder="1" applyAlignment="1">
      <alignment horizontal="left" wrapText="1"/>
    </xf>
    <xf numFmtId="0" fontId="19" fillId="3" borderId="27" xfId="0" applyFont="1" applyFill="1" applyBorder="1" applyAlignment="1">
      <alignment horizontal="left" wrapText="1"/>
    </xf>
    <xf numFmtId="0" fontId="9" fillId="3" borderId="10" xfId="0" applyFont="1" applyFill="1" applyBorder="1" applyAlignment="1">
      <alignment horizontal="center"/>
    </xf>
    <xf numFmtId="0" fontId="9" fillId="3" borderId="12" xfId="0" applyFont="1" applyFill="1" applyBorder="1" applyAlignment="1">
      <alignment horizontal="center"/>
    </xf>
    <xf numFmtId="0" fontId="9" fillId="3" borderId="35" xfId="0" applyFont="1" applyFill="1" applyBorder="1" applyAlignment="1">
      <alignment horizontal="center"/>
    </xf>
    <xf numFmtId="0" fontId="19" fillId="3" borderId="6" xfId="0" applyFont="1" applyFill="1" applyBorder="1" applyAlignment="1">
      <alignment horizontal="left" wrapText="1"/>
    </xf>
    <xf numFmtId="0" fontId="19" fillId="3" borderId="7" xfId="0" applyFont="1" applyFill="1" applyBorder="1" applyAlignment="1">
      <alignment horizontal="left" wrapText="1"/>
    </xf>
    <xf numFmtId="0" fontId="6" fillId="2" borderId="2" xfId="0" applyFont="1" applyFill="1" applyBorder="1" applyAlignment="1">
      <alignment horizontal="center" wrapText="1"/>
    </xf>
    <xf numFmtId="0" fontId="19" fillId="3" borderId="29" xfId="0" applyFont="1" applyFill="1" applyBorder="1" applyAlignment="1">
      <alignment horizontal="left" vertical="top" wrapText="1"/>
    </xf>
    <xf numFmtId="0" fontId="19" fillId="3" borderId="0" xfId="0" applyFont="1" applyFill="1" applyBorder="1" applyAlignment="1">
      <alignment horizontal="left" vertical="top" wrapText="1"/>
    </xf>
    <xf numFmtId="0" fontId="19" fillId="3" borderId="5" xfId="0" applyFont="1" applyFill="1" applyBorder="1" applyAlignment="1">
      <alignment horizontal="left" vertical="top" wrapText="1"/>
    </xf>
    <xf numFmtId="0" fontId="19" fillId="3" borderId="30" xfId="0" applyFont="1" applyFill="1" applyBorder="1" applyAlignment="1">
      <alignment horizontal="left" vertical="top" wrapText="1"/>
    </xf>
    <xf numFmtId="0" fontId="19" fillId="3" borderId="7" xfId="0" applyFont="1" applyFill="1" applyBorder="1" applyAlignment="1">
      <alignment horizontal="left" vertical="top" wrapText="1"/>
    </xf>
    <xf numFmtId="0" fontId="19" fillId="3" borderId="8" xfId="0" applyFont="1" applyFill="1" applyBorder="1" applyAlignment="1">
      <alignment horizontal="left" vertical="top" wrapText="1"/>
    </xf>
    <xf numFmtId="0" fontId="9" fillId="3" borderId="36" xfId="0" applyFont="1" applyFill="1" applyBorder="1" applyAlignment="1">
      <alignment horizontal="center" wrapText="1"/>
    </xf>
    <xf numFmtId="0" fontId="9" fillId="3" borderId="12" xfId="0" applyFont="1" applyFill="1" applyBorder="1" applyAlignment="1">
      <alignment horizontal="center" wrapText="1"/>
    </xf>
    <xf numFmtId="0" fontId="9" fillId="3" borderId="11" xfId="0" applyFont="1" applyFill="1" applyBorder="1" applyAlignment="1">
      <alignment horizontal="center" wrapText="1"/>
    </xf>
    <xf numFmtId="0" fontId="11" fillId="2" borderId="19" xfId="0" applyFont="1" applyFill="1" applyBorder="1" applyAlignment="1">
      <alignment horizontal="center" vertical="top"/>
    </xf>
    <xf numFmtId="0" fontId="11" fillId="3" borderId="20" xfId="0" applyFont="1" applyFill="1" applyBorder="1" applyAlignment="1">
      <alignment horizontal="left" vertical="top"/>
    </xf>
    <xf numFmtId="0" fontId="16" fillId="3" borderId="25" xfId="0" applyFont="1" applyFill="1" applyBorder="1" applyAlignment="1"/>
    <xf numFmtId="0" fontId="16" fillId="3" borderId="26" xfId="0" applyFont="1" applyFill="1" applyBorder="1" applyAlignment="1"/>
    <xf numFmtId="0" fontId="16" fillId="2" borderId="26" xfId="0" applyFont="1" applyFill="1" applyBorder="1" applyAlignment="1"/>
    <xf numFmtId="9" fontId="16" fillId="3" borderId="43" xfId="53" applyFont="1" applyFill="1" applyBorder="1" applyAlignment="1">
      <alignment horizontal="center"/>
    </xf>
    <xf numFmtId="0" fontId="16" fillId="3" borderId="26" xfId="0" applyFont="1" applyFill="1" applyBorder="1" applyAlignment="1">
      <alignment horizontal="center"/>
    </xf>
    <xf numFmtId="0" fontId="16" fillId="3" borderId="43" xfId="0" applyFont="1" applyFill="1" applyBorder="1" applyAlignment="1">
      <alignment horizontal="center"/>
    </xf>
    <xf numFmtId="0" fontId="20" fillId="3" borderId="25" xfId="0" applyFont="1" applyFill="1" applyBorder="1" applyAlignment="1">
      <alignment horizontal="center"/>
    </xf>
    <xf numFmtId="0" fontId="20" fillId="3" borderId="26" xfId="0" applyFont="1" applyFill="1" applyBorder="1" applyAlignment="1">
      <alignment horizontal="center"/>
    </xf>
    <xf numFmtId="0" fontId="19" fillId="3" borderId="44" xfId="0" applyFont="1" applyFill="1" applyBorder="1" applyAlignment="1">
      <alignment horizontal="left" wrapText="1"/>
    </xf>
    <xf numFmtId="0" fontId="24" fillId="4" borderId="4" xfId="0" applyFont="1" applyFill="1" applyBorder="1"/>
    <xf numFmtId="0" fontId="0" fillId="0" borderId="0" xfId="0" applyFont="1" applyAlignment="1">
      <alignment horizontal="left"/>
    </xf>
    <xf numFmtId="0" fontId="25" fillId="2" borderId="0" xfId="0" applyFont="1" applyFill="1"/>
    <xf numFmtId="0" fontId="26" fillId="5" borderId="0" xfId="0" applyFont="1" applyFill="1"/>
  </cellXfs>
  <cellStyles count="35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Normal" xfId="0" builtinId="0"/>
    <cellStyle name="Percent" xfId="53" builtinId="5"/>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abSelected="1" workbookViewId="0">
      <selection activeCell="I11" sqref="I11"/>
    </sheetView>
  </sheetViews>
  <sheetFormatPr baseColWidth="10" defaultRowHeight="15" x14ac:dyDescent="0"/>
  <cols>
    <col min="1" max="1" width="4" customWidth="1"/>
    <col min="2" max="2" width="22.83203125" customWidth="1"/>
    <col min="3" max="3" width="15.6640625" customWidth="1"/>
    <col min="4" max="4" width="5.1640625" customWidth="1"/>
    <col min="5" max="5" width="44" customWidth="1"/>
    <col min="6" max="6" width="1.83203125" customWidth="1"/>
    <col min="7" max="7" width="2.6640625" customWidth="1"/>
  </cols>
  <sheetData>
    <row r="1" spans="1:8">
      <c r="A1" s="245" t="s">
        <v>490</v>
      </c>
      <c r="B1" s="23"/>
      <c r="C1" s="23"/>
      <c r="D1" s="23"/>
      <c r="E1" s="23"/>
      <c r="F1" s="23"/>
      <c r="G1" s="23"/>
      <c r="H1" s="46"/>
    </row>
    <row r="2" spans="1:8" ht="18" thickBot="1">
      <c r="A2" s="2"/>
      <c r="B2" s="156" t="s">
        <v>303</v>
      </c>
      <c r="C2" s="156"/>
      <c r="D2" s="156"/>
      <c r="E2" s="156"/>
      <c r="F2" s="156"/>
      <c r="G2" s="156"/>
    </row>
    <row r="3" spans="1:8">
      <c r="A3" s="2"/>
      <c r="B3" s="31" t="s">
        <v>302</v>
      </c>
      <c r="C3" s="145" t="s">
        <v>313</v>
      </c>
      <c r="D3" s="145"/>
      <c r="E3" s="146"/>
      <c r="F3" s="27"/>
      <c r="G3" s="24"/>
    </row>
    <row r="4" spans="1:8">
      <c r="A4" s="2"/>
      <c r="B4" s="48" t="s">
        <v>255</v>
      </c>
      <c r="C4" s="144"/>
      <c r="D4" s="144"/>
      <c r="E4" s="32" t="s">
        <v>314</v>
      </c>
      <c r="F4" s="28"/>
      <c r="G4" s="25"/>
    </row>
    <row r="5" spans="1:8">
      <c r="A5" s="2"/>
      <c r="B5" s="48" t="s">
        <v>308</v>
      </c>
      <c r="C5" s="33" t="s">
        <v>315</v>
      </c>
      <c r="D5" s="34"/>
      <c r="E5" s="34"/>
      <c r="F5" s="28"/>
      <c r="G5" s="25"/>
    </row>
    <row r="6" spans="1:8" ht="37" customHeight="1">
      <c r="A6" s="2"/>
      <c r="B6" s="50" t="s">
        <v>304</v>
      </c>
      <c r="C6" s="147" t="s">
        <v>316</v>
      </c>
      <c r="D6" s="147"/>
      <c r="E6" s="148"/>
      <c r="F6" s="29"/>
      <c r="G6" s="26"/>
    </row>
    <row r="7" spans="1:8">
      <c r="A7" s="2"/>
      <c r="B7" s="48" t="s">
        <v>306</v>
      </c>
      <c r="C7" s="142" t="s">
        <v>310</v>
      </c>
      <c r="D7" s="142"/>
      <c r="E7" s="143"/>
      <c r="F7" s="28"/>
      <c r="G7" s="25"/>
    </row>
    <row r="8" spans="1:8" ht="16" thickBot="1">
      <c r="A8" s="2"/>
      <c r="B8" s="49" t="s">
        <v>309</v>
      </c>
      <c r="C8" s="149" t="s">
        <v>312</v>
      </c>
      <c r="D8" s="149"/>
      <c r="E8" s="150"/>
      <c r="F8" s="28"/>
      <c r="G8" s="25"/>
    </row>
    <row r="9" spans="1:8" ht="16" thickBot="1">
      <c r="A9" s="2"/>
      <c r="B9" s="35"/>
      <c r="C9" s="35"/>
      <c r="D9" s="35"/>
      <c r="E9" s="36"/>
      <c r="F9" s="28"/>
      <c r="G9" s="25"/>
    </row>
    <row r="10" spans="1:8">
      <c r="A10" s="2"/>
      <c r="B10" s="151" t="s">
        <v>266</v>
      </c>
      <c r="C10" s="152"/>
      <c r="D10" s="37"/>
      <c r="E10" s="38" t="s">
        <v>307</v>
      </c>
      <c r="F10" s="2"/>
      <c r="G10" s="1"/>
    </row>
    <row r="11" spans="1:8">
      <c r="A11" s="2"/>
      <c r="B11" s="41" t="s">
        <v>256</v>
      </c>
      <c r="C11" s="42">
        <v>0</v>
      </c>
      <c r="D11" s="39"/>
      <c r="E11" s="40">
        <f ca="1">LOOKUP(RANDBETWEEN(1,100),'Basic Data'!B$12:B$111,'Basic Data'!C$12:C$111)+IF(C4="Dralasite",10,IF(C4="Vrusk",-5,IF(C4="Yazirian",-10,0)))</f>
        <v>55</v>
      </c>
      <c r="F11" s="2"/>
      <c r="G11" s="1"/>
    </row>
    <row r="12" spans="1:8">
      <c r="A12" s="2"/>
      <c r="B12" s="41" t="s">
        <v>257</v>
      </c>
      <c r="C12" s="42">
        <v>0</v>
      </c>
      <c r="D12" s="39"/>
      <c r="E12" s="40">
        <f ca="1">LOOKUP(RANDBETWEEN(1,100),'Basic Data'!B$12:B$111,'Basic Data'!C$12:C$111)+IF(C4="Yazirian",5,0)</f>
        <v>50</v>
      </c>
      <c r="F12" s="2"/>
      <c r="G12" s="1"/>
    </row>
    <row r="13" spans="1:8">
      <c r="A13" s="2"/>
      <c r="B13" s="41" t="s">
        <v>258</v>
      </c>
      <c r="C13" s="42">
        <v>0</v>
      </c>
      <c r="D13" s="39"/>
      <c r="E13" s="40">
        <f ca="1">LOOKUP(RANDBETWEEN(1,100),'Basic Data'!B$12:B$111,'Basic Data'!C$12:C$111)+IF(C4="Dralasite",-5,IF(C4="Human",0,5))</f>
        <v>65</v>
      </c>
      <c r="F13" s="2"/>
      <c r="G13" s="1"/>
    </row>
    <row r="14" spans="1:8">
      <c r="A14" s="2"/>
      <c r="B14" s="41" t="s">
        <v>259</v>
      </c>
      <c r="C14" s="42">
        <v>0</v>
      </c>
      <c r="D14" s="39"/>
      <c r="E14" s="40">
        <f ca="1">LOOKUP(RANDBETWEEN(1,100),'Basic Data'!B$12:B$111,'Basic Data'!C$12:C$111)</f>
        <v>35</v>
      </c>
      <c r="F14" s="2"/>
      <c r="G14" s="1"/>
    </row>
    <row r="15" spans="1:8">
      <c r="A15" s="2"/>
      <c r="B15" s="41" t="s">
        <v>264</v>
      </c>
      <c r="C15" s="42">
        <v>0</v>
      </c>
      <c r="D15" s="39"/>
      <c r="E15" s="40">
        <f ca="1">RANDBETWEEN(1,100)+100</f>
        <v>150</v>
      </c>
      <c r="F15" s="2"/>
      <c r="G15" s="1"/>
    </row>
    <row r="16" spans="1:8" ht="16" thickBot="1">
      <c r="A16" s="2"/>
      <c r="B16" s="43" t="s">
        <v>265</v>
      </c>
      <c r="C16" s="44">
        <v>0</v>
      </c>
      <c r="D16" s="39"/>
      <c r="E16" s="45">
        <f>10</f>
        <v>10</v>
      </c>
      <c r="F16" s="2"/>
      <c r="G16" s="1"/>
    </row>
    <row r="17" spans="1:7" ht="16" thickBot="1">
      <c r="A17" s="2"/>
      <c r="B17" s="36"/>
      <c r="C17" s="36"/>
      <c r="D17" s="36"/>
      <c r="E17" s="36"/>
      <c r="F17" s="2"/>
      <c r="G17" s="1"/>
    </row>
    <row r="18" spans="1:7">
      <c r="A18" s="2"/>
      <c r="B18" s="52" t="s">
        <v>311</v>
      </c>
      <c r="C18" s="53"/>
      <c r="D18" s="53"/>
      <c r="E18" s="54"/>
      <c r="F18" s="2"/>
      <c r="G18" s="1"/>
    </row>
    <row r="19" spans="1:7">
      <c r="A19" s="2"/>
      <c r="B19" s="242" t="s">
        <v>476</v>
      </c>
      <c r="C19" s="62"/>
      <c r="D19" s="62"/>
      <c r="E19" s="87"/>
      <c r="F19" s="2"/>
      <c r="G19" s="1"/>
    </row>
    <row r="20" spans="1:7" ht="29" customHeight="1">
      <c r="A20" s="2"/>
      <c r="B20" s="153" t="s">
        <v>305</v>
      </c>
      <c r="C20" s="154"/>
      <c r="D20" s="154"/>
      <c r="E20" s="155"/>
      <c r="F20" s="2"/>
      <c r="G20" s="1"/>
    </row>
    <row r="21" spans="1:7">
      <c r="A21" s="2"/>
      <c r="B21" s="55" t="s">
        <v>267</v>
      </c>
      <c r="C21" s="51"/>
      <c r="D21" s="51"/>
      <c r="E21" s="56"/>
      <c r="F21" s="2"/>
      <c r="G21" s="1"/>
    </row>
    <row r="22" spans="1:7">
      <c r="A22" s="2"/>
      <c r="B22" s="55" t="s">
        <v>480</v>
      </c>
      <c r="C22" s="51"/>
      <c r="D22" s="51"/>
      <c r="E22" s="56"/>
      <c r="F22" s="2"/>
      <c r="G22" s="1"/>
    </row>
    <row r="23" spans="1:7" ht="16" thickBot="1">
      <c r="A23" s="2"/>
      <c r="B23" s="139" t="s">
        <v>317</v>
      </c>
      <c r="C23" s="140"/>
      <c r="D23" s="140"/>
      <c r="E23" s="141"/>
      <c r="F23" s="2"/>
      <c r="G23" s="1"/>
    </row>
    <row r="24" spans="1:7">
      <c r="A24" s="2"/>
      <c r="B24" s="23"/>
      <c r="C24" s="23"/>
      <c r="D24" s="23"/>
      <c r="E24" s="23"/>
      <c r="F24" s="2"/>
      <c r="G24" s="1"/>
    </row>
    <row r="25" spans="1:7">
      <c r="B25" s="30"/>
      <c r="C25" s="30"/>
      <c r="D25" s="30"/>
      <c r="E25" s="46"/>
      <c r="F25" s="22"/>
      <c r="G25" s="47"/>
    </row>
    <row r="26" spans="1:7">
      <c r="E26" s="22"/>
      <c r="F26" s="22"/>
      <c r="G26" s="47"/>
    </row>
    <row r="27" spans="1:7">
      <c r="E27" s="22"/>
      <c r="F27" s="22"/>
      <c r="G27" s="22"/>
    </row>
  </sheetData>
  <mergeCells count="9">
    <mergeCell ref="B23:E23"/>
    <mergeCell ref="C7:E7"/>
    <mergeCell ref="C4:D4"/>
    <mergeCell ref="C3:E3"/>
    <mergeCell ref="C6:E6"/>
    <mergeCell ref="C8:E8"/>
    <mergeCell ref="B10:C10"/>
    <mergeCell ref="B20:E20"/>
    <mergeCell ref="B2:G2"/>
  </mergeCells>
  <pageMargins left="0.75" right="0.75" top="1" bottom="1" header="0.5" footer="0.5"/>
  <pageSetup orientation="portrait" horizontalDpi="4294967292" verticalDpi="4294967292"/>
  <extLst>
    <ext xmlns:x14="http://schemas.microsoft.com/office/spreadsheetml/2009/9/main" uri="{CCE6A557-97BC-4b89-ADB6-D9C93CAAB3DF}">
      <x14:dataValidations xmlns:xm="http://schemas.microsoft.com/office/excel/2006/main" count="1">
        <x14:dataValidation type="list" allowBlank="1" showInputMessage="1" showErrorMessage="1">
          <x14:formula1>
            <xm:f>'Basic Data'!$C$3:$C$6</xm:f>
          </x14:formula1>
          <xm:sqref>C4</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workbookViewId="0"/>
  </sheetViews>
  <sheetFormatPr baseColWidth="10" defaultRowHeight="15" x14ac:dyDescent="0"/>
  <cols>
    <col min="1" max="1" width="2.5" style="22" customWidth="1"/>
    <col min="2" max="2" width="15.33203125" customWidth="1"/>
    <col min="3" max="3" width="13.1640625" customWidth="1"/>
    <col min="4" max="4" width="4.6640625" customWidth="1"/>
    <col min="5" max="5" width="9.5" customWidth="1"/>
    <col min="6" max="6" width="3.6640625" customWidth="1"/>
    <col min="7" max="7" width="4.83203125" customWidth="1"/>
    <col min="8" max="8" width="16.6640625" customWidth="1"/>
    <col min="9" max="9" width="15.83203125" customWidth="1"/>
    <col min="10" max="10" width="6.5" customWidth="1"/>
    <col min="11" max="11" width="14" customWidth="1"/>
    <col min="12" max="12" width="2.83203125" customWidth="1"/>
  </cols>
  <sheetData>
    <row r="1" spans="1:14" ht="16" thickBot="1">
      <c r="A1" s="244" t="s">
        <v>486</v>
      </c>
      <c r="B1" s="2"/>
      <c r="C1" s="2"/>
      <c r="D1" s="2"/>
      <c r="E1" s="2"/>
      <c r="F1" s="2"/>
      <c r="G1" s="2"/>
      <c r="H1" s="2"/>
      <c r="I1" s="2"/>
      <c r="J1" s="2"/>
      <c r="K1" s="2"/>
      <c r="L1" s="2"/>
      <c r="M1" s="11" t="s">
        <v>254</v>
      </c>
    </row>
    <row r="2" spans="1:14">
      <c r="A2" s="2"/>
      <c r="B2" s="151" t="s">
        <v>9</v>
      </c>
      <c r="C2" s="157"/>
      <c r="D2" s="157"/>
      <c r="E2" s="157"/>
      <c r="F2" s="152"/>
      <c r="G2" s="39"/>
      <c r="H2" s="151" t="s">
        <v>12</v>
      </c>
      <c r="I2" s="157"/>
      <c r="J2" s="157"/>
      <c r="K2" s="152"/>
      <c r="L2" s="2"/>
    </row>
    <row r="3" spans="1:14">
      <c r="A3" s="2"/>
      <c r="B3" s="60" t="s">
        <v>0</v>
      </c>
      <c r="C3" s="61" t="s">
        <v>29</v>
      </c>
      <c r="D3" s="62" t="s">
        <v>2</v>
      </c>
      <c r="E3" s="158">
        <f>'Get Started!'!C4</f>
        <v>0</v>
      </c>
      <c r="F3" s="159"/>
      <c r="G3" s="57"/>
      <c r="H3" s="60" t="s">
        <v>10</v>
      </c>
      <c r="I3" s="167">
        <f>E12</f>
        <v>0</v>
      </c>
      <c r="J3" s="167"/>
      <c r="K3" s="167"/>
      <c r="L3" s="2"/>
    </row>
    <row r="4" spans="1:14">
      <c r="A4" s="2"/>
      <c r="B4" s="60" t="s">
        <v>1</v>
      </c>
      <c r="C4" s="61" t="s">
        <v>29</v>
      </c>
      <c r="D4" s="62" t="s">
        <v>3</v>
      </c>
      <c r="E4" s="160"/>
      <c r="F4" s="161"/>
      <c r="G4" s="57"/>
      <c r="H4" s="65"/>
      <c r="I4" s="175"/>
      <c r="J4" s="175"/>
      <c r="K4" s="175"/>
      <c r="L4" s="2"/>
    </row>
    <row r="5" spans="1:14" ht="16" thickBot="1">
      <c r="A5" s="2"/>
      <c r="B5" s="63" t="s">
        <v>4</v>
      </c>
      <c r="C5" s="64"/>
      <c r="D5" s="88"/>
      <c r="E5" s="162"/>
      <c r="F5" s="163"/>
      <c r="G5" s="57"/>
      <c r="H5" s="66" t="s">
        <v>11</v>
      </c>
      <c r="I5" s="176"/>
      <c r="J5" s="176"/>
      <c r="K5" s="176"/>
      <c r="L5" s="2"/>
    </row>
    <row r="6" spans="1:14" ht="16" thickBot="1">
      <c r="A6" s="2"/>
      <c r="B6" s="36"/>
      <c r="C6" s="36"/>
      <c r="D6" s="36"/>
      <c r="E6" s="36"/>
      <c r="F6" s="36"/>
      <c r="G6" s="36"/>
      <c r="H6" s="65"/>
      <c r="I6" s="175"/>
      <c r="J6" s="175"/>
      <c r="K6" s="175"/>
      <c r="L6" s="2"/>
    </row>
    <row r="7" spans="1:14">
      <c r="A7" s="2"/>
      <c r="B7" s="151" t="s">
        <v>8</v>
      </c>
      <c r="C7" s="157"/>
      <c r="D7" s="157"/>
      <c r="E7" s="157"/>
      <c r="F7" s="152"/>
      <c r="G7" s="39"/>
      <c r="H7" s="65"/>
      <c r="I7" s="175"/>
      <c r="J7" s="175"/>
      <c r="K7" s="175"/>
      <c r="L7" s="2"/>
    </row>
    <row r="8" spans="1:14">
      <c r="A8" s="2"/>
      <c r="B8" s="41" t="s">
        <v>5</v>
      </c>
      <c r="C8" s="106" t="s">
        <v>6</v>
      </c>
      <c r="D8" s="172" t="s">
        <v>7</v>
      </c>
      <c r="E8" s="172"/>
      <c r="F8" s="173"/>
      <c r="G8" s="39"/>
      <c r="H8" s="65"/>
      <c r="I8" s="175"/>
      <c r="J8" s="175"/>
      <c r="K8" s="175"/>
      <c r="L8" s="2"/>
    </row>
    <row r="9" spans="1:14" ht="16" thickBot="1">
      <c r="A9" s="2"/>
      <c r="B9" s="58" t="str">
        <f>IF(E3=0," ",LOOKUP(E3,'Basic Data'!C3:C6,'Basic Data'!D3:D6))</f>
        <v xml:space="preserve"> </v>
      </c>
      <c r="C9" s="83" t="str">
        <f>IF(E3=0," ",LOOKUP(E3,'Basic Data'!D3:D6,'Basic Data'!E3:E6))</f>
        <v xml:space="preserve"> </v>
      </c>
      <c r="D9" s="170" t="str">
        <f>IF(E3=0," ",LOOKUP(E3,'Basic Data'!D3:D6,'Basic Data'!F3:F6))</f>
        <v xml:space="preserve"> </v>
      </c>
      <c r="E9" s="170"/>
      <c r="F9" s="171"/>
      <c r="G9" s="39"/>
      <c r="H9" s="63" t="s">
        <v>462</v>
      </c>
      <c r="I9" s="162">
        <f>SUM('CRS Pg 2 Equipment'!F15:F32,'CRS Pg 2 Equipment'!E4:E11,'CRS Pg 2 Equipment'!K15:K32)+SUM('CRS Pg 2 Equipment'!E4:E11)-N17</f>
        <v>0</v>
      </c>
      <c r="J9" s="162"/>
      <c r="K9" s="163"/>
      <c r="L9" s="2"/>
    </row>
    <row r="10" spans="1:14" ht="16" thickBot="1">
      <c r="A10" s="2"/>
      <c r="B10" s="57"/>
      <c r="C10" s="57"/>
      <c r="D10" s="39"/>
      <c r="E10" s="39"/>
      <c r="F10" s="39"/>
      <c r="G10" s="39"/>
      <c r="H10" s="57"/>
      <c r="I10" s="57"/>
      <c r="J10" s="36"/>
      <c r="K10" s="36"/>
      <c r="L10" s="2"/>
    </row>
    <row r="11" spans="1:14">
      <c r="A11" s="2"/>
      <c r="B11" s="151" t="s">
        <v>13</v>
      </c>
      <c r="C11" s="157"/>
      <c r="D11" s="157"/>
      <c r="E11" s="157"/>
      <c r="F11" s="18" t="s">
        <v>301</v>
      </c>
      <c r="G11" s="36"/>
      <c r="H11" s="151" t="s">
        <v>23</v>
      </c>
      <c r="I11" s="157"/>
      <c r="J11" s="157"/>
      <c r="K11" s="152"/>
      <c r="L11" s="2"/>
    </row>
    <row r="12" spans="1:14">
      <c r="A12" s="2"/>
      <c r="B12" s="72" t="s">
        <v>14</v>
      </c>
      <c r="C12" s="73">
        <f>'Get Started!'!C11+F12</f>
        <v>0</v>
      </c>
      <c r="D12" s="239" t="s">
        <v>15</v>
      </c>
      <c r="E12" s="74">
        <f>C12</f>
        <v>0</v>
      </c>
      <c r="F12" s="75"/>
      <c r="G12" s="36"/>
      <c r="H12" s="60" t="s">
        <v>435</v>
      </c>
      <c r="I12" s="68"/>
      <c r="J12" s="166" t="str">
        <f>IF(I12=0," ",LOOKUP(I12,'Equipment Data'!$A$8:$A$10,'Equipment Data'!$C$8:$C$10))</f>
        <v xml:space="preserve"> </v>
      </c>
      <c r="K12" s="167"/>
      <c r="L12" s="2"/>
      <c r="M12" s="11">
        <f>IF(I12=0,0,LOOKUP(I12,'Equipment Data'!A8:A10,'Equipment Data'!B$8:B$10))</f>
        <v>0</v>
      </c>
      <c r="N12" s="11">
        <f>IF(I12=0,0,LOOKUP(I12,'Equipment Data'!A8:A10,'Equipment Data'!D$8:D$10))</f>
        <v>0</v>
      </c>
    </row>
    <row r="13" spans="1:14">
      <c r="A13" s="2"/>
      <c r="B13" s="72" t="s">
        <v>16</v>
      </c>
      <c r="C13" s="76">
        <f>'Get Started!'!C12</f>
        <v>0</v>
      </c>
      <c r="D13" s="240" t="s">
        <v>15</v>
      </c>
      <c r="E13" s="74">
        <f>C13</f>
        <v>0</v>
      </c>
      <c r="F13" s="75"/>
      <c r="G13" s="36"/>
      <c r="H13" s="69" t="s">
        <v>222</v>
      </c>
      <c r="I13" s="70"/>
      <c r="J13" s="158" t="str">
        <f>IF(I13=0," ",LOOKUP(I13,'Equipment Data'!$A$8:$A$10,'Equipment Data'!$C$8:$C$10))</f>
        <v xml:space="preserve"> </v>
      </c>
      <c r="K13" s="159"/>
      <c r="L13" s="2"/>
      <c r="M13" s="11">
        <f>IF(I13=0,0,LOOKUP(I13,'Equipment Data'!A8:A10,'Equipment Data'!B$8:B$10))</f>
        <v>0</v>
      </c>
      <c r="N13" s="11">
        <f>IF(I13=0,0,LOOKUP(I13,'Equipment Data'!A9:A10,'Equipment Data'!D$8:D$10))</f>
        <v>0</v>
      </c>
    </row>
    <row r="14" spans="1:14">
      <c r="A14" s="2"/>
      <c r="B14" s="72" t="s">
        <v>18</v>
      </c>
      <c r="C14" s="76">
        <f>'Get Started!'!C13+F14</f>
        <v>0</v>
      </c>
      <c r="D14" s="240" t="s">
        <v>15</v>
      </c>
      <c r="E14" s="74">
        <f>C14</f>
        <v>0</v>
      </c>
      <c r="F14" s="75"/>
      <c r="G14" s="36"/>
      <c r="H14" s="60" t="s">
        <v>234</v>
      </c>
      <c r="I14" s="68"/>
      <c r="J14" s="166" t="str">
        <f>IF(I14=0," ",LOOKUP(I14,'Equipment Data'!$A$3:$A$7,'Equipment Data'!$C$3:$C$7))</f>
        <v xml:space="preserve"> </v>
      </c>
      <c r="K14" s="167"/>
      <c r="L14" s="2"/>
      <c r="M14" s="11">
        <f>IF(I14=0,0,LOOKUP(I14,'Equipment Data'!A3:A8,'Equipment Data'!B$3:B$8))</f>
        <v>0</v>
      </c>
      <c r="N14" s="11">
        <f>IF(I14=0,0,LOOKUP(I14,'Equipment Data'!A10:A11,'Equipment Data'!D$3:D$8))</f>
        <v>0</v>
      </c>
    </row>
    <row r="15" spans="1:14">
      <c r="A15" s="2"/>
      <c r="B15" s="72" t="s">
        <v>17</v>
      </c>
      <c r="C15" s="77">
        <f>'Get Started!'!C14+F15</f>
        <v>0</v>
      </c>
      <c r="D15" s="240" t="s">
        <v>15</v>
      </c>
      <c r="E15" s="74">
        <f>C15</f>
        <v>0</v>
      </c>
      <c r="F15" s="75"/>
      <c r="G15" s="36"/>
      <c r="H15" s="60" t="s">
        <v>235</v>
      </c>
      <c r="I15" s="71"/>
      <c r="J15" s="166" t="str">
        <f>IF(I15=0," ",LOOKUP(I15,'Equipment Data'!$A$8:$A$10,'Equipment Data'!$C$8:$C$10))</f>
        <v xml:space="preserve"> </v>
      </c>
      <c r="K15" s="167"/>
      <c r="L15" s="2"/>
      <c r="M15" s="11">
        <f>IF(I15=0,0,LOOKUP(I15,'Equipment Data'!A3:A8,'Equipment Data'!B$3:B$8))</f>
        <v>0</v>
      </c>
      <c r="N15" s="11">
        <f>IF(I15=0,0,LOOKUP(I15,'Equipment Data'!A11:A12,'Equipment Data'!D$3:D$8))</f>
        <v>0</v>
      </c>
    </row>
    <row r="16" spans="1:14" ht="16" thickBot="1">
      <c r="A16" s="2"/>
      <c r="B16" s="78" t="s">
        <v>19</v>
      </c>
      <c r="C16" s="174">
        <f>ROUNDUP(E13/10,0)</f>
        <v>0</v>
      </c>
      <c r="D16" s="174"/>
      <c r="E16" s="174"/>
      <c r="F16" s="134"/>
      <c r="G16" s="36"/>
      <c r="H16" s="63" t="s">
        <v>236</v>
      </c>
      <c r="I16" s="64"/>
      <c r="J16" s="162" t="str">
        <f>IF(I16=0," ",LOOKUP(I16,'Equipment Data'!$A$8:$A$10,'Equipment Data'!$C$8:$C$10))</f>
        <v xml:space="preserve"> </v>
      </c>
      <c r="K16" s="163"/>
      <c r="L16" s="2"/>
      <c r="M16" s="11">
        <f>IF(I16=0,0,LOOKUP(I16,'Equipment Data'!A3:A8,'Equipment Data'!B$3:B$8))</f>
        <v>0</v>
      </c>
      <c r="N16" s="11">
        <f>IF(I16=0,0,LOOKUP(I16,'Equipment Data'!A11:A13,'Equipment Data'!D$3:D$8))</f>
        <v>0</v>
      </c>
    </row>
    <row r="17" spans="1:14" ht="16" thickBot="1">
      <c r="A17" s="2"/>
      <c r="B17" s="36"/>
      <c r="C17" s="36"/>
      <c r="D17" s="36"/>
      <c r="E17" s="36"/>
      <c r="F17" s="36"/>
      <c r="G17" s="36"/>
      <c r="H17" s="36"/>
      <c r="I17" s="36"/>
      <c r="J17" s="36"/>
      <c r="K17" s="36"/>
      <c r="L17" s="2"/>
      <c r="M17" s="11">
        <f>SUM(M12:M16)</f>
        <v>0</v>
      </c>
      <c r="N17" s="11">
        <f>SUM(N12:N16)</f>
        <v>0</v>
      </c>
    </row>
    <row r="18" spans="1:14">
      <c r="A18" s="2"/>
      <c r="B18" s="151" t="s">
        <v>25</v>
      </c>
      <c r="C18" s="157"/>
      <c r="D18" s="59" t="str">
        <f>IF(E3="Human"," ","XP")</f>
        <v>XP</v>
      </c>
      <c r="E18" s="168" t="str">
        <f>IF(E3="Human"," ","Score")</f>
        <v>Score</v>
      </c>
      <c r="F18" s="169"/>
      <c r="G18" s="36"/>
      <c r="H18" s="151" t="s">
        <v>24</v>
      </c>
      <c r="I18" s="157"/>
      <c r="J18" s="157"/>
      <c r="K18" s="152"/>
      <c r="L18" s="2"/>
    </row>
    <row r="19" spans="1:14">
      <c r="A19" s="2"/>
      <c r="B19" s="60" t="s">
        <v>26</v>
      </c>
      <c r="C19" s="233" t="str">
        <f>IF(E3=0," ",LOOKUP(E3,'Basic Data'!C3:C6,'Basic Data'!G3:G6))</f>
        <v xml:space="preserve"> </v>
      </c>
      <c r="D19" s="70"/>
      <c r="E19" s="159"/>
      <c r="F19" s="159"/>
      <c r="G19" s="36"/>
      <c r="H19" s="177" t="s">
        <v>482</v>
      </c>
      <c r="I19" s="178"/>
      <c r="J19" s="178"/>
      <c r="K19" s="175"/>
      <c r="L19" s="2"/>
    </row>
    <row r="20" spans="1:14">
      <c r="A20" s="2"/>
      <c r="B20" s="79"/>
      <c r="C20" s="234" t="str">
        <f>IF(E3=0," ",LOOKUP(E3,'Basic Data'!C3:C6,'Basic Data'!H3:H6))</f>
        <v xml:space="preserve"> </v>
      </c>
      <c r="D20" s="235"/>
      <c r="E20" s="236" t="str">
        <f>IF(E3="Human"," ",IF(E3=0," ",LOOKUP(E3,'Basic Data'!C3:C6,'Basic Data'!I3:I6+'CRS Pg 1 Essentials'!D20/100)))</f>
        <v xml:space="preserve"> </v>
      </c>
      <c r="F20" s="236"/>
      <c r="G20" s="36"/>
      <c r="H20" s="65"/>
      <c r="I20" s="71"/>
      <c r="J20" s="71"/>
      <c r="K20" s="80"/>
      <c r="L20" s="2"/>
    </row>
    <row r="21" spans="1:14">
      <c r="A21" s="2"/>
      <c r="B21" s="79"/>
      <c r="C21" s="234" t="str">
        <f>IF(E3="Human"," ",IF(E3=0," ",LOOKUP(E3,'Basic Data'!C3:C6,'Basic Data'!J3:J6)))</f>
        <v xml:space="preserve"> </v>
      </c>
      <c r="D21" s="235"/>
      <c r="E21" s="237"/>
      <c r="F21" s="238"/>
      <c r="G21" s="36"/>
      <c r="H21" s="65"/>
      <c r="I21" s="71"/>
      <c r="J21" s="71"/>
      <c r="K21" s="80"/>
      <c r="L21" s="2"/>
    </row>
    <row r="22" spans="1:14">
      <c r="A22" s="2"/>
      <c r="B22" s="66" t="s">
        <v>238</v>
      </c>
      <c r="C22" s="164">
        <f>'Get Started!'!C16</f>
        <v>0</v>
      </c>
      <c r="D22" s="164"/>
      <c r="E22" s="164"/>
      <c r="F22" s="165"/>
      <c r="G22" s="36"/>
      <c r="H22" s="65"/>
      <c r="I22" s="71"/>
      <c r="J22" s="71"/>
      <c r="K22" s="80"/>
      <c r="L22" s="2"/>
    </row>
    <row r="23" spans="1:14">
      <c r="A23" s="2"/>
      <c r="B23" s="79" t="s">
        <v>237</v>
      </c>
      <c r="C23" s="166">
        <f>C22-'CRS Pg 3 Skills'!B5:B69-F12-F13-F14-F15-D19-D20-D21</f>
        <v>0</v>
      </c>
      <c r="D23" s="166"/>
      <c r="E23" s="166"/>
      <c r="F23" s="167"/>
      <c r="G23" s="36"/>
      <c r="H23" s="65"/>
      <c r="I23" s="71"/>
      <c r="J23" s="71"/>
      <c r="K23" s="80"/>
      <c r="L23" s="2"/>
    </row>
    <row r="24" spans="1:14">
      <c r="A24" s="2"/>
      <c r="B24" s="66" t="s">
        <v>27</v>
      </c>
      <c r="C24" s="164">
        <f>'Get Started!'!C15-'CRS Pg 1 Essentials'!M17-'CRS Pg 2 Equipment'!B33</f>
        <v>0</v>
      </c>
      <c r="D24" s="164"/>
      <c r="E24" s="164"/>
      <c r="F24" s="165"/>
      <c r="G24" s="36"/>
      <c r="H24" s="65"/>
      <c r="I24" s="71"/>
      <c r="J24" s="71"/>
      <c r="K24" s="80"/>
      <c r="L24" s="2"/>
    </row>
    <row r="25" spans="1:14" ht="16" thickBot="1">
      <c r="A25" s="2"/>
      <c r="B25" s="63" t="s">
        <v>28</v>
      </c>
      <c r="C25" s="179" t="s">
        <v>481</v>
      </c>
      <c r="D25" s="179"/>
      <c r="E25" s="179"/>
      <c r="F25" s="180"/>
      <c r="G25" s="36"/>
      <c r="H25" s="67"/>
      <c r="I25" s="64"/>
      <c r="J25" s="64"/>
      <c r="K25" s="81"/>
      <c r="L25" s="2"/>
    </row>
    <row r="26" spans="1:14">
      <c r="A26" s="2"/>
      <c r="B26" s="16"/>
      <c r="C26" s="2"/>
      <c r="D26" s="2"/>
      <c r="E26" s="2"/>
      <c r="F26" s="2"/>
      <c r="G26" s="2"/>
      <c r="H26" s="2"/>
      <c r="I26" s="2"/>
      <c r="J26" s="2"/>
      <c r="K26" s="2"/>
      <c r="L26" s="2"/>
    </row>
    <row r="27" spans="1:14">
      <c r="A27" s="2"/>
      <c r="B27" s="14"/>
      <c r="C27" s="15" t="s">
        <v>241</v>
      </c>
      <c r="D27" s="2"/>
      <c r="E27" s="2"/>
      <c r="F27" s="2"/>
      <c r="G27" s="2"/>
      <c r="H27" s="2"/>
      <c r="I27" s="2"/>
      <c r="J27" s="2"/>
      <c r="K27" s="2"/>
      <c r="L27" s="2"/>
    </row>
    <row r="28" spans="1:14">
      <c r="B28" s="12"/>
      <c r="C28" s="13"/>
    </row>
    <row r="29" spans="1:14">
      <c r="B29" s="12"/>
      <c r="C29" s="13"/>
    </row>
    <row r="30" spans="1:14">
      <c r="B30" s="12"/>
      <c r="C30" s="13"/>
    </row>
    <row r="31" spans="1:14">
      <c r="B31" s="12"/>
      <c r="C31" s="13"/>
    </row>
    <row r="44" spans="9:9">
      <c r="I44" s="2"/>
    </row>
  </sheetData>
  <mergeCells count="34">
    <mergeCell ref="H19:K19"/>
    <mergeCell ref="C23:F23"/>
    <mergeCell ref="C24:F24"/>
    <mergeCell ref="C25:F25"/>
    <mergeCell ref="B18:C18"/>
    <mergeCell ref="H2:K2"/>
    <mergeCell ref="I3:K3"/>
    <mergeCell ref="I4:K4"/>
    <mergeCell ref="I5:K5"/>
    <mergeCell ref="I6:K6"/>
    <mergeCell ref="H11:K11"/>
    <mergeCell ref="H18:K18"/>
    <mergeCell ref="B11:E11"/>
    <mergeCell ref="C16:E16"/>
    <mergeCell ref="I7:K7"/>
    <mergeCell ref="I8:K8"/>
    <mergeCell ref="I9:K9"/>
    <mergeCell ref="J12:K12"/>
    <mergeCell ref="J13:K13"/>
    <mergeCell ref="J14:K14"/>
    <mergeCell ref="J15:K15"/>
    <mergeCell ref="J16:K16"/>
    <mergeCell ref="B2:F2"/>
    <mergeCell ref="E3:F3"/>
    <mergeCell ref="E4:F4"/>
    <mergeCell ref="E5:F5"/>
    <mergeCell ref="C22:F22"/>
    <mergeCell ref="E21:F21"/>
    <mergeCell ref="E18:F18"/>
    <mergeCell ref="E19:F19"/>
    <mergeCell ref="E20:F20"/>
    <mergeCell ref="D9:F9"/>
    <mergeCell ref="D8:F8"/>
    <mergeCell ref="B7:F7"/>
  </mergeCells>
  <pageMargins left="0.75" right="0.75" top="1" bottom="1" header="0.5" footer="0.5"/>
  <pageSetup orientation="portrait" horizontalDpi="4294967292" verticalDpi="4294967292"/>
  <ignoredErrors>
    <ignoredError sqref="E20 D18:E18 C19:C21 J12:K13 J15:K16 K14 E3 M12 N12:N16 C23 C12:C15 M13:M16" emptyCellReference="1"/>
    <ignoredError sqref="J14" formula="1"/>
  </ignoredErrors>
  <extLst>
    <ext xmlns:x14="http://schemas.microsoft.com/office/spreadsheetml/2009/9/main" uri="{CCE6A557-97BC-4b89-ADB6-D9C93CAAB3DF}">
      <x14:dataValidations xmlns:xm="http://schemas.microsoft.com/office/excel/2006/main" count="4">
        <x14:dataValidation type="list" allowBlank="1" showInputMessage="1" showErrorMessage="1">
          <x14:formula1>
            <xm:f>'Basic Data'!$A$3:$A$4</xm:f>
          </x14:formula1>
          <xm:sqref>C5</xm:sqref>
        </x14:dataValidation>
        <x14:dataValidation type="list" allowBlank="1" showInputMessage="1" showErrorMessage="1">
          <x14:formula1>
            <xm:f>'Equipment Data'!$A$8:$A$10</xm:f>
          </x14:formula1>
          <xm:sqref>I12:I13</xm:sqref>
        </x14:dataValidation>
        <x14:dataValidation type="list" allowBlank="1" showInputMessage="1" showErrorMessage="1">
          <x14:formula1>
            <xm:f>'Equipment Data'!$A$3:$A$7</xm:f>
          </x14:formula1>
          <xm:sqref>I14:I16</xm:sqref>
        </x14:dataValidation>
        <x14:dataValidation type="list" allowBlank="1" showInputMessage="1" showErrorMessage="1">
          <x14:formula1>
            <xm:f>'Basic Data'!$B$3:$B$5</xm:f>
          </x14:formula1>
          <xm:sqref>E4:F4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workbookViewId="0">
      <selection activeCell="B1" sqref="B1"/>
    </sheetView>
  </sheetViews>
  <sheetFormatPr baseColWidth="10" defaultRowHeight="15" x14ac:dyDescent="0"/>
  <cols>
    <col min="1" max="1" width="3.1640625" customWidth="1"/>
    <col min="11" max="11" width="18.33203125" customWidth="1"/>
    <col min="12" max="12" width="3.33203125" customWidth="1"/>
  </cols>
  <sheetData>
    <row r="1" spans="1:12" ht="16" thickBot="1">
      <c r="A1" s="244" t="s">
        <v>487</v>
      </c>
      <c r="B1" s="2"/>
      <c r="C1" s="2"/>
      <c r="D1" s="2"/>
      <c r="E1" s="2"/>
      <c r="F1" s="2"/>
      <c r="G1" s="2"/>
      <c r="H1" s="2"/>
      <c r="I1" s="2"/>
      <c r="J1" s="2"/>
      <c r="K1" s="2"/>
      <c r="L1" s="2"/>
    </row>
    <row r="2" spans="1:12">
      <c r="A2" s="2"/>
      <c r="B2" s="151" t="s">
        <v>20</v>
      </c>
      <c r="C2" s="157"/>
      <c r="D2" s="157"/>
      <c r="E2" s="157"/>
      <c r="F2" s="157"/>
      <c r="G2" s="157"/>
      <c r="H2" s="157"/>
      <c r="I2" s="157"/>
      <c r="J2" s="157"/>
      <c r="K2" s="152"/>
      <c r="L2" s="2"/>
    </row>
    <row r="3" spans="1:12">
      <c r="A3" s="2"/>
      <c r="B3" s="84" t="s">
        <v>21</v>
      </c>
      <c r="C3" s="85" t="s">
        <v>79</v>
      </c>
      <c r="D3" s="85" t="s">
        <v>159</v>
      </c>
      <c r="E3" s="85" t="s">
        <v>43</v>
      </c>
      <c r="F3" s="85" t="s">
        <v>60</v>
      </c>
      <c r="G3" s="85" t="s">
        <v>22</v>
      </c>
      <c r="H3" s="85" t="s">
        <v>82</v>
      </c>
      <c r="I3" s="85" t="s">
        <v>89</v>
      </c>
      <c r="J3" s="85" t="s">
        <v>61</v>
      </c>
      <c r="K3" s="86" t="s">
        <v>90</v>
      </c>
      <c r="L3" s="2"/>
    </row>
    <row r="4" spans="1:12">
      <c r="A4" s="2"/>
      <c r="B4" s="65"/>
      <c r="C4" s="62">
        <f>IF(B4=0,0,LOOKUP($B4,'Weapons Data'!$A$3:$A$40,'Weapons Data'!B$3:B$40))</f>
        <v>0</v>
      </c>
      <c r="D4" s="136" t="str">
        <f>IF(B4=0," ",LOOKUP($B4,'Weapons Data'!$A$3:$A$40,'Weapons Data'!C$3:C$40)+LOOKUP(LOOKUP('CRS Pg 2 Equipment'!B4,'Weapons Data'!$A$3:$A$40,'Weapons Data'!$K$3:$K$40),'CRS Pg 3 Skills'!$I$5:$I$8,'CRS Pg 3 Skills'!$F$5:$F$8)+0.005*'CRS Pg 1 Essentials'!$C$13)</f>
        <v xml:space="preserve"> </v>
      </c>
      <c r="E4" s="62">
        <f>IF(B4=0,0,LOOKUP($B4,'Weapons Data'!$A$3:$A$40,'Weapons Data'!D$3:D$40))</f>
        <v>0</v>
      </c>
      <c r="F4" s="62" t="str">
        <f>IF(B4=0," ",LOOKUP($B4,'Weapons Data'!$A$3:$A$40,'Weapons Data'!$E$3:$E$40))</f>
        <v xml:space="preserve"> </v>
      </c>
      <c r="G4" s="62" t="str">
        <f>IF(B4=0," ",LOOKUP($B4,'Weapons Data'!$A$3:$A$40,'Weapons Data'!$F$3:$F$40))</f>
        <v xml:space="preserve"> </v>
      </c>
      <c r="H4" s="62" t="str">
        <f>IF(B4=0," ",LOOKUP($B4,'Weapons Data'!$A$3:$A$40,'Weapons Data'!$G$3:$G$40))</f>
        <v xml:space="preserve"> </v>
      </c>
      <c r="I4" s="62" t="str">
        <f>IF(B4=0," ",LOOKUP($B4,'Weapons Data'!$A$3:$A$40,'Weapons Data'!$H$3:$H$40))</f>
        <v xml:space="preserve"> </v>
      </c>
      <c r="J4" s="62" t="str">
        <f>IF(B4=0," ",LOOKUP($B4,'Weapons Data'!$A$3:$A$40,'Weapons Data'!$I$3:$I$40))</f>
        <v xml:space="preserve"> </v>
      </c>
      <c r="K4" s="87" t="str">
        <f>IF(B4=0," ",LOOKUP($B4,'Weapons Data'!$A$3:$A$40,'Weapons Data'!$J$3:$J$40))</f>
        <v xml:space="preserve"> </v>
      </c>
      <c r="L4" s="2"/>
    </row>
    <row r="5" spans="1:12">
      <c r="A5" s="2"/>
      <c r="B5" s="65"/>
      <c r="C5" s="62">
        <f>IF(B5=0,0,LOOKUP($B5,'Weapons Data'!$A$3:$A$40,'Weapons Data'!B$3:B$40))</f>
        <v>0</v>
      </c>
      <c r="D5" s="136" t="str">
        <f>IF(B5=0," ",LOOKUP($B5,'Weapons Data'!$A$3:$A$40,'Weapons Data'!C$3:C$40)+LOOKUP(LOOKUP('CRS Pg 2 Equipment'!B5,'Weapons Data'!$A$3:$A$40,'Weapons Data'!$K$3:$K$40),'CRS Pg 3 Skills'!$I$5:$I$8,'CRS Pg 3 Skills'!$F$5:$F$8)+0.005*'CRS Pg 1 Essentials'!$C$13)</f>
        <v xml:space="preserve"> </v>
      </c>
      <c r="E5" s="62">
        <f>IF(B5=0,0,LOOKUP($B5,'Weapons Data'!$A$3:$A$40,'Weapons Data'!D$3:D$40))</f>
        <v>0</v>
      </c>
      <c r="F5" s="62" t="str">
        <f>IF(B5=0," ",LOOKUP($B5,'Weapons Data'!$A$3:$A$40,'Weapons Data'!$E$3:$E$40))</f>
        <v xml:space="preserve"> </v>
      </c>
      <c r="G5" s="62" t="str">
        <f>IF(B5=0," ",LOOKUP($B5,'Weapons Data'!$A$3:$A$40,'Weapons Data'!$F$3:$F$40))</f>
        <v xml:space="preserve"> </v>
      </c>
      <c r="H5" s="62" t="str">
        <f>IF(B5=0," ",LOOKUP($B5,'Weapons Data'!$A$3:$A$40,'Weapons Data'!$G$3:$G$40))</f>
        <v xml:space="preserve"> </v>
      </c>
      <c r="I5" s="62" t="str">
        <f>IF(B5=0," ",LOOKUP($B5,'Weapons Data'!$A$3:$A$40,'Weapons Data'!$H$3:$H$40))</f>
        <v xml:space="preserve"> </v>
      </c>
      <c r="J5" s="62" t="str">
        <f>IF(B5=0," ",LOOKUP($B5,'Weapons Data'!$A$3:$A$40,'Weapons Data'!$I$3:$I$40))</f>
        <v xml:space="preserve"> </v>
      </c>
      <c r="K5" s="87" t="str">
        <f>IF(B5=0," ",LOOKUP($B5,'Weapons Data'!$A$3:$A$40,'Weapons Data'!$J$3:$J$40))</f>
        <v xml:space="preserve"> </v>
      </c>
      <c r="L5" s="2"/>
    </row>
    <row r="6" spans="1:12">
      <c r="A6" s="2"/>
      <c r="B6" s="65"/>
      <c r="C6" s="62">
        <f>IF(B6=0,0,LOOKUP($B6,'Weapons Data'!$A$3:$A$40,'Weapons Data'!B$3:B$40))</f>
        <v>0</v>
      </c>
      <c r="D6" s="136" t="str">
        <f>IF(B6=0," ",LOOKUP($B6,'Weapons Data'!$A$3:$A$40,'Weapons Data'!C$3:C$40)+LOOKUP(LOOKUP('CRS Pg 2 Equipment'!B6,'Weapons Data'!$A$3:$A$40,'Weapons Data'!$K$3:$K$40),'CRS Pg 3 Skills'!$I$5:$I$8,'CRS Pg 3 Skills'!$F$5:$F$8)+0.005*'CRS Pg 1 Essentials'!$C$13)</f>
        <v xml:space="preserve"> </v>
      </c>
      <c r="E6" s="62">
        <f>IF(B6=0,0,LOOKUP($B6,'Weapons Data'!$A$3:$A$40,'Weapons Data'!D$3:D$40))</f>
        <v>0</v>
      </c>
      <c r="F6" s="62" t="str">
        <f>IF(B6=0," ",LOOKUP($B6,'Weapons Data'!$A$3:$A$40,'Weapons Data'!$E$3:$E$40))</f>
        <v xml:space="preserve"> </v>
      </c>
      <c r="G6" s="62" t="str">
        <f>IF(B6=0," ",LOOKUP($B6,'Weapons Data'!$A$3:$A$40,'Weapons Data'!$F$3:$F$40))</f>
        <v xml:space="preserve"> </v>
      </c>
      <c r="H6" s="62" t="str">
        <f>IF(B6=0," ",LOOKUP($B6,'Weapons Data'!$A$3:$A$40,'Weapons Data'!$G$3:$G$40))</f>
        <v xml:space="preserve"> </v>
      </c>
      <c r="I6" s="62" t="str">
        <f>IF(B6=0," ",LOOKUP($B6,'Weapons Data'!$A$3:$A$40,'Weapons Data'!$H$3:$H$40))</f>
        <v xml:space="preserve"> </v>
      </c>
      <c r="J6" s="62" t="str">
        <f>IF(B6=0," ",LOOKUP($B6,'Weapons Data'!$A$3:$A$40,'Weapons Data'!$I$3:$I$40))</f>
        <v xml:space="preserve"> </v>
      </c>
      <c r="K6" s="87" t="str">
        <f>IF(B6=0," ",LOOKUP($B6,'Weapons Data'!$A$3:$A$40,'Weapons Data'!$J$3:$J$40))</f>
        <v xml:space="preserve"> </v>
      </c>
      <c r="L6" s="2"/>
    </row>
    <row r="7" spans="1:12">
      <c r="A7" s="2"/>
      <c r="B7" s="65"/>
      <c r="C7" s="62">
        <f>IF(B7=0,0,LOOKUP($B7,'Weapons Data'!$A$3:$A$40,'Weapons Data'!B$3:B$40))</f>
        <v>0</v>
      </c>
      <c r="D7" s="136" t="str">
        <f>IF(B7=0," ",LOOKUP($B7,'Weapons Data'!$A$3:$A$40,'Weapons Data'!C$3:C$40)+LOOKUP(LOOKUP('CRS Pg 2 Equipment'!B7,'Weapons Data'!$A$3:$A$40,'Weapons Data'!$K$3:$K$40),'CRS Pg 3 Skills'!$I$5:$I$8,'CRS Pg 3 Skills'!$F$5:$F$8)+0.005*'CRS Pg 1 Essentials'!$C$13)</f>
        <v xml:space="preserve"> </v>
      </c>
      <c r="E7" s="62">
        <f>IF(B7=0,0,LOOKUP($B7,'Weapons Data'!$A$3:$A$40,'Weapons Data'!D$3:D$40))</f>
        <v>0</v>
      </c>
      <c r="F7" s="62" t="str">
        <f>IF(B7=0," ",LOOKUP($B7,'Weapons Data'!$A$3:$A$40,'Weapons Data'!$E$3:$E$40))</f>
        <v xml:space="preserve"> </v>
      </c>
      <c r="G7" s="62" t="str">
        <f>IF(B7=0," ",LOOKUP($B7,'Weapons Data'!$A$3:$A$40,'Weapons Data'!$F$3:$F$40))</f>
        <v xml:space="preserve"> </v>
      </c>
      <c r="H7" s="62" t="str">
        <f>IF(B7=0," ",LOOKUP($B7,'Weapons Data'!$A$3:$A$40,'Weapons Data'!$G$3:$G$40))</f>
        <v xml:space="preserve"> </v>
      </c>
      <c r="I7" s="62" t="str">
        <f>IF(B7=0," ",LOOKUP($B7,'Weapons Data'!$A$3:$A$40,'Weapons Data'!$H$3:$H$40))</f>
        <v xml:space="preserve"> </v>
      </c>
      <c r="J7" s="62" t="str">
        <f>IF(B7=0," ",LOOKUP($B7,'Weapons Data'!$A$3:$A$40,'Weapons Data'!$I$3:$I$40))</f>
        <v xml:space="preserve"> </v>
      </c>
      <c r="K7" s="87" t="str">
        <f>IF(B7=0," ",LOOKUP($B7,'Weapons Data'!$A$3:$A$40,'Weapons Data'!$J$3:$J$40))</f>
        <v xml:space="preserve"> </v>
      </c>
      <c r="L7" s="2"/>
    </row>
    <row r="8" spans="1:12">
      <c r="A8" s="2"/>
      <c r="B8" s="65"/>
      <c r="C8" s="62">
        <f>IF(B8=0,0,LOOKUP($B8,'Weapons Data'!$A$3:$A$40,'Weapons Data'!B$3:B$40))</f>
        <v>0</v>
      </c>
      <c r="D8" s="136" t="str">
        <f>IF(B8=0," ",LOOKUP($B8,'Weapons Data'!$A$3:$A$40,'Weapons Data'!C$3:C$40)+LOOKUP(LOOKUP('CRS Pg 2 Equipment'!B8,'Weapons Data'!$A$3:$A$40,'Weapons Data'!$K$3:$K$40),'CRS Pg 3 Skills'!$I$5:$I$8,'CRS Pg 3 Skills'!$F$5:$F$8)+0.005*'CRS Pg 1 Essentials'!$C$13)</f>
        <v xml:space="preserve"> </v>
      </c>
      <c r="E8" s="62">
        <f>IF(B8=0,0,LOOKUP($B8,'Weapons Data'!$A$3:$A$40,'Weapons Data'!D$3:D$40))</f>
        <v>0</v>
      </c>
      <c r="F8" s="62" t="str">
        <f>IF(B8=0," ",LOOKUP($B8,'Weapons Data'!$A$3:$A$40,'Weapons Data'!$E$3:$E$40))</f>
        <v xml:space="preserve"> </v>
      </c>
      <c r="G8" s="62" t="str">
        <f>IF(B8=0," ",LOOKUP($B8,'Weapons Data'!$A$3:$A$40,'Weapons Data'!$F$3:$F$40))</f>
        <v xml:space="preserve"> </v>
      </c>
      <c r="H8" s="62" t="str">
        <f>IF(B8=0," ",LOOKUP($B8,'Weapons Data'!$A$3:$A$40,'Weapons Data'!$G$3:$G$40))</f>
        <v xml:space="preserve"> </v>
      </c>
      <c r="I8" s="62" t="str">
        <f>IF(B8=0," ",LOOKUP($B8,'Weapons Data'!$A$3:$A$40,'Weapons Data'!$H$3:$H$40))</f>
        <v xml:space="preserve"> </v>
      </c>
      <c r="J8" s="62" t="str">
        <f>IF(B8=0," ",LOOKUP($B8,'Weapons Data'!$A$3:$A$40,'Weapons Data'!$I$3:$I$40))</f>
        <v xml:space="preserve"> </v>
      </c>
      <c r="K8" s="87" t="str">
        <f>IF(B8=0," ",LOOKUP($B8,'Weapons Data'!$A$3:$A$40,'Weapons Data'!$J$3:$J$40))</f>
        <v xml:space="preserve"> </v>
      </c>
      <c r="L8" s="2"/>
    </row>
    <row r="9" spans="1:12">
      <c r="A9" s="2"/>
      <c r="B9" s="65"/>
      <c r="C9" s="62">
        <f>IF(B9=0,0,LOOKUP($B9,'Weapons Data'!$A$3:$A$40,'Weapons Data'!B$3:B$40))</f>
        <v>0</v>
      </c>
      <c r="D9" s="136" t="str">
        <f>IF(B9=0," ",LOOKUP($B9,'Weapons Data'!$A$3:$A$40,'Weapons Data'!C$3:C$40)+LOOKUP(LOOKUP('CRS Pg 2 Equipment'!B9,'Weapons Data'!$A$3:$A$40,'Weapons Data'!$K$3:$K$40),'CRS Pg 3 Skills'!$I$5:$I$8,'CRS Pg 3 Skills'!$F$5:$F$8)+0.005*'CRS Pg 1 Essentials'!$C$13)</f>
        <v xml:space="preserve"> </v>
      </c>
      <c r="E9" s="62">
        <f>IF(B9=0,0,LOOKUP($B9,'Weapons Data'!$A$3:$A$40,'Weapons Data'!D$3:D$40))</f>
        <v>0</v>
      </c>
      <c r="F9" s="62" t="str">
        <f>IF(B9=0," ",LOOKUP($B9,'Weapons Data'!$A$3:$A$40,'Weapons Data'!$E$3:$E$40))</f>
        <v xml:space="preserve"> </v>
      </c>
      <c r="G9" s="62" t="str">
        <f>IF(B9=0," ",LOOKUP($B9,'Weapons Data'!$A$3:$A$40,'Weapons Data'!$F$3:$F$40))</f>
        <v xml:space="preserve"> </v>
      </c>
      <c r="H9" s="62" t="str">
        <f>IF(B9=0," ",LOOKUP($B9,'Weapons Data'!$A$3:$A$40,'Weapons Data'!$G$3:$G$40))</f>
        <v xml:space="preserve"> </v>
      </c>
      <c r="I9" s="62" t="str">
        <f>IF(B9=0," ",LOOKUP($B9,'Weapons Data'!$A$3:$A$40,'Weapons Data'!$H$3:$H$40))</f>
        <v xml:space="preserve"> </v>
      </c>
      <c r="J9" s="62" t="str">
        <f>IF(B9=0," ",LOOKUP($B9,'Weapons Data'!$A$3:$A$40,'Weapons Data'!$I$3:$I$40))</f>
        <v xml:space="preserve"> </v>
      </c>
      <c r="K9" s="87" t="str">
        <f>IF(B9=0," ",LOOKUP($B9,'Weapons Data'!$A$3:$A$40,'Weapons Data'!$J$3:$J$40))</f>
        <v xml:space="preserve"> </v>
      </c>
      <c r="L9" s="2"/>
    </row>
    <row r="10" spans="1:12">
      <c r="A10" s="2"/>
      <c r="B10" s="65"/>
      <c r="C10" s="62">
        <f>IF(B10=0,0,LOOKUP($B10,'Weapons Data'!$A$3:$A$40,'Weapons Data'!B$3:B$40))</f>
        <v>0</v>
      </c>
      <c r="D10" s="136" t="str">
        <f>IF(B10=0," ",LOOKUP($B10,'Weapons Data'!$A$3:$A$40,'Weapons Data'!C$3:C$40)+LOOKUP(LOOKUP('CRS Pg 2 Equipment'!B10,'Weapons Data'!$A$3:$A$40,'Weapons Data'!$K$3:$K$40),'CRS Pg 3 Skills'!$I$5:$I$8,'CRS Pg 3 Skills'!$F$5:$F$8)+0.005*'CRS Pg 1 Essentials'!$C$13)</f>
        <v xml:space="preserve"> </v>
      </c>
      <c r="E10" s="62">
        <f>IF(B10=0,0,LOOKUP($B10,'Weapons Data'!$A$3:$A$40,'Weapons Data'!D$3:D$40))</f>
        <v>0</v>
      </c>
      <c r="F10" s="62" t="str">
        <f>IF(B10=0," ",LOOKUP($B10,'Weapons Data'!$A$3:$A$40,'Weapons Data'!$E$3:$E$40))</f>
        <v xml:space="preserve"> </v>
      </c>
      <c r="G10" s="62" t="str">
        <f>IF(B10=0," ",LOOKUP($B10,'Weapons Data'!$A$3:$A$40,'Weapons Data'!$F$3:$F$40))</f>
        <v xml:space="preserve"> </v>
      </c>
      <c r="H10" s="62" t="str">
        <f>IF(B10=0," ",LOOKUP($B10,'Weapons Data'!$A$3:$A$40,'Weapons Data'!$G$3:$G$40))</f>
        <v xml:space="preserve"> </v>
      </c>
      <c r="I10" s="62" t="str">
        <f>IF(B10=0," ",LOOKUP($B10,'Weapons Data'!$A$3:$A$40,'Weapons Data'!$H$3:$H$40))</f>
        <v xml:space="preserve"> </v>
      </c>
      <c r="J10" s="62" t="str">
        <f>IF(B10=0," ",LOOKUP($B10,'Weapons Data'!$A$3:$A$40,'Weapons Data'!$I$3:$I$40))</f>
        <v xml:space="preserve"> </v>
      </c>
      <c r="K10" s="87" t="str">
        <f>IF(B10=0," ",LOOKUP($B10,'Weapons Data'!$A$3:$A$40,'Weapons Data'!$J$3:$J$40))</f>
        <v xml:space="preserve"> </v>
      </c>
      <c r="L10" s="2"/>
    </row>
    <row r="11" spans="1:12" ht="16" thickBot="1">
      <c r="A11" s="2"/>
      <c r="B11" s="67"/>
      <c r="C11" s="88">
        <f>IF(B11=0,0,LOOKUP($B11,'Weapons Data'!$A$3:$A$40,'Weapons Data'!B$3:B$40))</f>
        <v>0</v>
      </c>
      <c r="D11" s="138" t="str">
        <f>IF(B11=0," ",LOOKUP($B11,'Weapons Data'!$A$3:$A$40,'Weapons Data'!C$3:C$40)+LOOKUP(LOOKUP('CRS Pg 2 Equipment'!B11,'Weapons Data'!$A$3:$A$40,'Weapons Data'!$K$3:$K$40),'CRS Pg 3 Skills'!$I$5:$I$8,'CRS Pg 3 Skills'!$F$5:$F$8)+0.005*'CRS Pg 1 Essentials'!$C$13)</f>
        <v xml:space="preserve"> </v>
      </c>
      <c r="E11" s="88">
        <f>IF(B11=0,0,LOOKUP($B11,'Weapons Data'!$A$3:$A$40,'Weapons Data'!D$3:D$40))</f>
        <v>0</v>
      </c>
      <c r="F11" s="88" t="str">
        <f>IF(B11=0," ",LOOKUP($B11,'Weapons Data'!$A$3:$A$40,'Weapons Data'!$E$3:$E$40))</f>
        <v xml:space="preserve"> </v>
      </c>
      <c r="G11" s="88" t="str">
        <f>IF(B11=0," ",LOOKUP($B11,'Weapons Data'!$A$3:$A$40,'Weapons Data'!$F$3:$F$40))</f>
        <v xml:space="preserve"> </v>
      </c>
      <c r="H11" s="88" t="str">
        <f>IF(B11=0," ",LOOKUP($B11,'Weapons Data'!$A$3:$A$40,'Weapons Data'!$G$3:$G$40))</f>
        <v xml:space="preserve"> </v>
      </c>
      <c r="I11" s="88" t="str">
        <f>IF(B11=0," ",LOOKUP($B11,'Weapons Data'!$A$3:$A$40,'Weapons Data'!$H$3:$H$40))</f>
        <v xml:space="preserve"> </v>
      </c>
      <c r="J11" s="88" t="str">
        <f>IF(B11=0," ",LOOKUP($B11,'Weapons Data'!$A$3:$A$40,'Weapons Data'!$I$3:$I$40))</f>
        <v xml:space="preserve"> </v>
      </c>
      <c r="K11" s="89" t="str">
        <f>IF(B11=0," ",LOOKUP($B11,'Weapons Data'!$A$3:$A$40,'Weapons Data'!$J$3:$J$40))</f>
        <v xml:space="preserve"> </v>
      </c>
      <c r="L11" s="2"/>
    </row>
    <row r="12" spans="1:12" ht="16" thickBot="1">
      <c r="A12" s="2"/>
      <c r="B12" s="2"/>
      <c r="C12" s="2"/>
      <c r="D12" s="2"/>
      <c r="E12" s="2"/>
      <c r="F12" s="2"/>
      <c r="G12" s="2"/>
      <c r="H12" s="2"/>
      <c r="I12" s="2"/>
      <c r="J12" s="2"/>
      <c r="K12" s="2"/>
      <c r="L12" s="2"/>
    </row>
    <row r="13" spans="1:12">
      <c r="B13" s="151" t="s">
        <v>42</v>
      </c>
      <c r="C13" s="157"/>
      <c r="D13" s="157"/>
      <c r="E13" s="157"/>
      <c r="F13" s="157"/>
      <c r="G13" s="157"/>
      <c r="H13" s="157"/>
      <c r="I13" s="157"/>
      <c r="J13" s="157"/>
      <c r="K13" s="152"/>
      <c r="L13" s="2"/>
    </row>
    <row r="14" spans="1:12">
      <c r="A14" s="2"/>
      <c r="B14" s="3" t="s">
        <v>318</v>
      </c>
      <c r="C14" s="4"/>
      <c r="D14" s="4"/>
      <c r="E14" s="4" t="s">
        <v>79</v>
      </c>
      <c r="F14" s="4" t="s">
        <v>319</v>
      </c>
      <c r="G14" s="4" t="s">
        <v>318</v>
      </c>
      <c r="H14" s="4"/>
      <c r="I14" s="4"/>
      <c r="J14" s="4" t="s">
        <v>79</v>
      </c>
      <c r="K14" s="20" t="s">
        <v>319</v>
      </c>
      <c r="L14" s="2"/>
    </row>
    <row r="15" spans="1:12" ht="15" customHeight="1">
      <c r="A15" s="2"/>
      <c r="B15" s="183"/>
      <c r="C15" s="181"/>
      <c r="D15" s="181"/>
      <c r="E15" s="4">
        <f>IF(B15=0,0,LOOKUP(B15,'Equipment Data'!$A$12:$A$69,'Equipment Data'!$B$12:$B$69))</f>
        <v>0</v>
      </c>
      <c r="F15" s="4">
        <f>IF(B15=0,0,LOOKUP(B15,'Equipment Data'!$A$12:$A$69,'Equipment Data'!$C$12:$C$69))</f>
        <v>0</v>
      </c>
      <c r="G15" s="181"/>
      <c r="H15" s="181"/>
      <c r="I15" s="181"/>
      <c r="J15" s="4">
        <f>IF(G15=0,0,LOOKUP(G15,'Equipment Data'!$A$12:$A$69,'Equipment Data'!$B$12:$B$69))</f>
        <v>0</v>
      </c>
      <c r="K15" s="20">
        <f>IF(G15=0,0,LOOKUP(G15,'Equipment Data'!$A$12:$A$69,'Equipment Data'!$C$12:$C$69))</f>
        <v>0</v>
      </c>
      <c r="L15" s="2"/>
    </row>
    <row r="16" spans="1:12" ht="15" customHeight="1">
      <c r="A16" s="2"/>
      <c r="B16" s="183"/>
      <c r="C16" s="181"/>
      <c r="D16" s="181"/>
      <c r="E16" s="4">
        <f>IF(B16=0,0,LOOKUP(B16,'Equipment Data'!$A$12:$A$69,'Equipment Data'!$B$12:$B$69))</f>
        <v>0</v>
      </c>
      <c r="F16" s="4">
        <f>IF(B16=0,0,LOOKUP(B16,'Equipment Data'!$A$12:$A$69,'Equipment Data'!$C$12:$C$69))</f>
        <v>0</v>
      </c>
      <c r="G16" s="181"/>
      <c r="H16" s="181"/>
      <c r="I16" s="181"/>
      <c r="J16" s="4">
        <f>IF(G16=0,0,LOOKUP(G16,'Equipment Data'!$A$12:$A$69,'Equipment Data'!$B$12:$B$69))</f>
        <v>0</v>
      </c>
      <c r="K16" s="20">
        <f>IF(G16=0,0,LOOKUP(G16,'Equipment Data'!$A$12:$A$69,'Equipment Data'!$C$12:$C$69))</f>
        <v>0</v>
      </c>
      <c r="L16" s="2"/>
    </row>
    <row r="17" spans="1:12" ht="15" customHeight="1">
      <c r="A17" s="2"/>
      <c r="B17" s="183"/>
      <c r="C17" s="181"/>
      <c r="D17" s="181"/>
      <c r="E17" s="4">
        <f>IF(B17=0,0,LOOKUP(B17,'Equipment Data'!$A$12:$A$69,'Equipment Data'!$B$12:$B$69))</f>
        <v>0</v>
      </c>
      <c r="F17" s="4">
        <f>IF(B17=0,0,LOOKUP(B17,'Equipment Data'!$A$12:$A$69,'Equipment Data'!$C$12:$C$69))</f>
        <v>0</v>
      </c>
      <c r="G17" s="181"/>
      <c r="H17" s="181"/>
      <c r="I17" s="181"/>
      <c r="J17" s="4">
        <f>IF(G17=0,0,LOOKUP(G17,'Equipment Data'!$A$12:$A$69,'Equipment Data'!$B$12:$B$69))</f>
        <v>0</v>
      </c>
      <c r="K17" s="20">
        <f>IF(G17=0,0,LOOKUP(G17,'Equipment Data'!$A$12:$A$69,'Equipment Data'!$C$12:$C$69))</f>
        <v>0</v>
      </c>
      <c r="L17" s="2"/>
    </row>
    <row r="18" spans="1:12" ht="15" customHeight="1">
      <c r="A18" s="2"/>
      <c r="B18" s="183"/>
      <c r="C18" s="181"/>
      <c r="D18" s="181"/>
      <c r="E18" s="4">
        <f>IF(B18=0,0,LOOKUP(B18,'Equipment Data'!$A$12:$A$69,'Equipment Data'!$B$12:$B$69))</f>
        <v>0</v>
      </c>
      <c r="F18" s="4">
        <f>IF(B18=0,0,LOOKUP(B18,'Equipment Data'!$A$12:$A$69,'Equipment Data'!$C$12:$C$69))</f>
        <v>0</v>
      </c>
      <c r="G18" s="181"/>
      <c r="H18" s="181"/>
      <c r="I18" s="181"/>
      <c r="J18" s="4">
        <f>IF(G18=0,0,LOOKUP(G18,'Equipment Data'!$A$12:$A$69,'Equipment Data'!$B$12:$B$69))</f>
        <v>0</v>
      </c>
      <c r="K18" s="20">
        <f>IF(G18=0,0,LOOKUP(G18,'Equipment Data'!$A$12:$A$69,'Equipment Data'!$C$12:$C$69))</f>
        <v>0</v>
      </c>
      <c r="L18" s="2"/>
    </row>
    <row r="19" spans="1:12" ht="15" customHeight="1">
      <c r="A19" s="2"/>
      <c r="B19" s="183"/>
      <c r="C19" s="181"/>
      <c r="D19" s="181"/>
      <c r="E19" s="4">
        <f>IF(B19=0,0,LOOKUP(B19,'Equipment Data'!$A$12:$A$69,'Equipment Data'!$B$12:$B$69))</f>
        <v>0</v>
      </c>
      <c r="F19" s="4">
        <f>IF(B19=0,0,LOOKUP(B19,'Equipment Data'!$A$12:$A$69,'Equipment Data'!$C$12:$C$69))</f>
        <v>0</v>
      </c>
      <c r="G19" s="181"/>
      <c r="H19" s="181"/>
      <c r="I19" s="181"/>
      <c r="J19" s="4">
        <f>IF(G19=0,0,LOOKUP(G19,'Equipment Data'!$A$12:$A$69,'Equipment Data'!$B$12:$B$69))</f>
        <v>0</v>
      </c>
      <c r="K19" s="20">
        <f>IF(G19=0,0,LOOKUP(G19,'Equipment Data'!$A$12:$A$69,'Equipment Data'!$C$12:$C$69))</f>
        <v>0</v>
      </c>
      <c r="L19" s="2"/>
    </row>
    <row r="20" spans="1:12" ht="15" customHeight="1">
      <c r="A20" s="2"/>
      <c r="B20" s="183"/>
      <c r="C20" s="181"/>
      <c r="D20" s="181"/>
      <c r="E20" s="4">
        <f>IF(B20=0,0,LOOKUP(B20,'Equipment Data'!$A$12:$A$69,'Equipment Data'!$B$12:$B$69))</f>
        <v>0</v>
      </c>
      <c r="F20" s="4">
        <f>IF(B20=0,0,LOOKUP(B20,'Equipment Data'!$A$12:$A$69,'Equipment Data'!$C$12:$C$69))</f>
        <v>0</v>
      </c>
      <c r="G20" s="181"/>
      <c r="H20" s="181"/>
      <c r="I20" s="181"/>
      <c r="J20" s="4">
        <f>IF(G20=0,0,LOOKUP(G20,'Equipment Data'!$A$12:$A$69,'Equipment Data'!$B$12:$B$69))</f>
        <v>0</v>
      </c>
      <c r="K20" s="20">
        <f>IF(G20=0,0,LOOKUP(G20,'Equipment Data'!$A$12:$A$69,'Equipment Data'!$C$12:$C$69))</f>
        <v>0</v>
      </c>
      <c r="L20" s="2"/>
    </row>
    <row r="21" spans="1:12" ht="15" customHeight="1">
      <c r="A21" s="2"/>
      <c r="B21" s="183"/>
      <c r="C21" s="181"/>
      <c r="D21" s="181"/>
      <c r="E21" s="4">
        <f>IF(B21=0,0,LOOKUP(B21,'Equipment Data'!$A$12:$A$69,'Equipment Data'!$B$12:$B$69))</f>
        <v>0</v>
      </c>
      <c r="F21" s="4">
        <f>IF(B21=0,0,LOOKUP(B21,'Equipment Data'!$A$12:$A$69,'Equipment Data'!$C$12:$C$69))</f>
        <v>0</v>
      </c>
      <c r="G21" s="181"/>
      <c r="H21" s="181"/>
      <c r="I21" s="181"/>
      <c r="J21" s="4">
        <f>IF(G21=0,0,LOOKUP(G21,'Equipment Data'!$A$12:$A$69,'Equipment Data'!$B$12:$B$69))</f>
        <v>0</v>
      </c>
      <c r="K21" s="20">
        <f>IF(G21=0,0,LOOKUP(G21,'Equipment Data'!$A$12:$A$69,'Equipment Data'!$C$12:$C$69))</f>
        <v>0</v>
      </c>
      <c r="L21" s="2"/>
    </row>
    <row r="22" spans="1:12" ht="15" customHeight="1">
      <c r="A22" s="2"/>
      <c r="B22" s="183"/>
      <c r="C22" s="181"/>
      <c r="D22" s="181"/>
      <c r="E22" s="4">
        <f>IF(B22=0,0,LOOKUP(B22,'Equipment Data'!$A$12:$A$69,'Equipment Data'!$B$12:$B$69))</f>
        <v>0</v>
      </c>
      <c r="F22" s="4">
        <f>IF(B22=0,0,LOOKUP(B22,'Equipment Data'!$A$12:$A$69,'Equipment Data'!$C$12:$C$69))</f>
        <v>0</v>
      </c>
      <c r="G22" s="181"/>
      <c r="H22" s="181"/>
      <c r="I22" s="181"/>
      <c r="J22" s="4">
        <f>IF(G22=0,0,LOOKUP(G22,'Equipment Data'!$A$12:$A$69,'Equipment Data'!$B$12:$B$69))</f>
        <v>0</v>
      </c>
      <c r="K22" s="20">
        <f>IF(G22=0,0,LOOKUP(G22,'Equipment Data'!$A$12:$A$69,'Equipment Data'!$C$12:$C$69))</f>
        <v>0</v>
      </c>
      <c r="L22" s="2"/>
    </row>
    <row r="23" spans="1:12" ht="15" customHeight="1">
      <c r="A23" s="2"/>
      <c r="B23" s="183"/>
      <c r="C23" s="181"/>
      <c r="D23" s="181"/>
      <c r="E23" s="4">
        <f>IF(B23=0,0,LOOKUP(B23,'Equipment Data'!$A$12:$A$69,'Equipment Data'!$B$12:$B$69))</f>
        <v>0</v>
      </c>
      <c r="F23" s="4">
        <f>IF(B23=0,0,LOOKUP(B23,'Equipment Data'!$A$12:$A$69,'Equipment Data'!$C$12:$C$69))</f>
        <v>0</v>
      </c>
      <c r="G23" s="181"/>
      <c r="H23" s="181"/>
      <c r="I23" s="181"/>
      <c r="J23" s="4">
        <f>IF(G23=0,0,LOOKUP(G23,'Equipment Data'!$A$12:$A$69,'Equipment Data'!$B$12:$B$69))</f>
        <v>0</v>
      </c>
      <c r="K23" s="20">
        <f>IF(G23=0,0,LOOKUP(G23,'Equipment Data'!$A$12:$A$69,'Equipment Data'!$C$12:$C$69))</f>
        <v>0</v>
      </c>
      <c r="L23" s="2"/>
    </row>
    <row r="24" spans="1:12" ht="15" customHeight="1">
      <c r="A24" s="2"/>
      <c r="B24" s="183"/>
      <c r="C24" s="181"/>
      <c r="D24" s="181"/>
      <c r="E24" s="4">
        <f>IF(B24=0,0,LOOKUP(B24,'Equipment Data'!$A$12:$A$69,'Equipment Data'!$B$12:$B$69))</f>
        <v>0</v>
      </c>
      <c r="F24" s="4">
        <f>IF(B24=0,0,LOOKUP(B24,'Equipment Data'!$A$12:$A$69,'Equipment Data'!$C$12:$C$69))</f>
        <v>0</v>
      </c>
      <c r="G24" s="181"/>
      <c r="H24" s="181"/>
      <c r="I24" s="181"/>
      <c r="J24" s="4">
        <f>IF(G24=0,0,LOOKUP(G24,'Equipment Data'!$A$12:$A$69,'Equipment Data'!$B$12:$B$69))</f>
        <v>0</v>
      </c>
      <c r="K24" s="20">
        <f>IF(G24=0,0,LOOKUP(G24,'Equipment Data'!$A$12:$A$69,'Equipment Data'!$C$12:$C$69))</f>
        <v>0</v>
      </c>
      <c r="L24" s="2"/>
    </row>
    <row r="25" spans="1:12">
      <c r="A25" s="2"/>
      <c r="B25" s="183"/>
      <c r="C25" s="181"/>
      <c r="D25" s="181"/>
      <c r="E25" s="4">
        <f>IF(B25=0,0,LOOKUP(B25,'Equipment Data'!$A$12:$A$69,'Equipment Data'!$B$12:$B$69))</f>
        <v>0</v>
      </c>
      <c r="F25" s="4">
        <f>IF(B25=0,0,LOOKUP(B25,'Equipment Data'!$A$12:$A$69,'Equipment Data'!$C$12:$C$69))</f>
        <v>0</v>
      </c>
      <c r="G25" s="181"/>
      <c r="H25" s="181"/>
      <c r="I25" s="181"/>
      <c r="J25" s="4">
        <f>IF(G25=0,0,LOOKUP(G25,'Equipment Data'!$A$12:$A$69,'Equipment Data'!$B$12:$B$69))</f>
        <v>0</v>
      </c>
      <c r="K25" s="20">
        <f>IF(G25=0,0,LOOKUP(G25,'Equipment Data'!$A$12:$A$69,'Equipment Data'!$C$12:$C$69))</f>
        <v>0</v>
      </c>
      <c r="L25" s="2"/>
    </row>
    <row r="26" spans="1:12">
      <c r="A26" s="2"/>
      <c r="B26" s="183"/>
      <c r="C26" s="181"/>
      <c r="D26" s="181"/>
      <c r="E26" s="4">
        <f>IF(B26=0,0,LOOKUP(B26,'Equipment Data'!$A$12:$A$69,'Equipment Data'!$B$12:$B$69))</f>
        <v>0</v>
      </c>
      <c r="F26" s="4">
        <f>IF(B26=0,0,LOOKUP(B26,'Equipment Data'!$A$12:$A$69,'Equipment Data'!$C$12:$C$69))</f>
        <v>0</v>
      </c>
      <c r="G26" s="181"/>
      <c r="H26" s="181"/>
      <c r="I26" s="181"/>
      <c r="J26" s="4">
        <f>IF(G26=0,0,LOOKUP(G26,'Equipment Data'!$A$12:$A$69,'Equipment Data'!$B$12:$B$69))</f>
        <v>0</v>
      </c>
      <c r="K26" s="20">
        <f>IF(G26=0,0,LOOKUP(G26,'Equipment Data'!$A$12:$A$69,'Equipment Data'!$C$12:$C$69))</f>
        <v>0</v>
      </c>
      <c r="L26" s="2"/>
    </row>
    <row r="27" spans="1:12">
      <c r="A27" s="2"/>
      <c r="B27" s="183"/>
      <c r="C27" s="181"/>
      <c r="D27" s="181"/>
      <c r="E27" s="4">
        <f>IF(B27=0,0,LOOKUP(B27,'Equipment Data'!$A$12:$A$69,'Equipment Data'!$B$12:$B$69))</f>
        <v>0</v>
      </c>
      <c r="F27" s="4">
        <f>IF(B27=0,0,LOOKUP(B27,'Equipment Data'!$A$12:$A$69,'Equipment Data'!$C$12:$C$69))</f>
        <v>0</v>
      </c>
      <c r="G27" s="181"/>
      <c r="H27" s="181"/>
      <c r="I27" s="181"/>
      <c r="J27" s="4">
        <f>IF(G27=0,0,LOOKUP(G27,'Equipment Data'!$A$12:$A$69,'Equipment Data'!$B$12:$B$69))</f>
        <v>0</v>
      </c>
      <c r="K27" s="20">
        <f>IF(G27=0,0,LOOKUP(G27,'Equipment Data'!$A$12:$A$69,'Equipment Data'!$C$12:$C$69))</f>
        <v>0</v>
      </c>
      <c r="L27" s="2"/>
    </row>
    <row r="28" spans="1:12">
      <c r="A28" s="2"/>
      <c r="B28" s="183"/>
      <c r="C28" s="181"/>
      <c r="D28" s="181"/>
      <c r="E28" s="4">
        <f>IF(B28=0,0,LOOKUP(B28,'Equipment Data'!$A$12:$A$69,'Equipment Data'!$B$12:$B$69))</f>
        <v>0</v>
      </c>
      <c r="F28" s="4">
        <f>IF(B28=0,0,LOOKUP(B28,'Equipment Data'!$A$12:$A$69,'Equipment Data'!$C$12:$C$69))</f>
        <v>0</v>
      </c>
      <c r="G28" s="181"/>
      <c r="H28" s="181"/>
      <c r="I28" s="181"/>
      <c r="J28" s="4">
        <f>IF(G28=0,0,LOOKUP(G28,'Equipment Data'!$A$12:$A$69,'Equipment Data'!$B$12:$B$69))</f>
        <v>0</v>
      </c>
      <c r="K28" s="20">
        <f>IF(G28=0,0,LOOKUP(G28,'Equipment Data'!$A$12:$A$69,'Equipment Data'!$C$12:$C$69))</f>
        <v>0</v>
      </c>
      <c r="L28" s="2"/>
    </row>
    <row r="29" spans="1:12">
      <c r="A29" s="2"/>
      <c r="B29" s="183"/>
      <c r="C29" s="181"/>
      <c r="D29" s="181"/>
      <c r="E29" s="4">
        <f>IF(B29=0,0,LOOKUP(B29,'Equipment Data'!$A$12:$A$69,'Equipment Data'!$B$12:$B$69))</f>
        <v>0</v>
      </c>
      <c r="F29" s="4">
        <f>IF(B29=0,0,LOOKUP(B29,'Equipment Data'!$A$12:$A$69,'Equipment Data'!$C$12:$C$69))</f>
        <v>0</v>
      </c>
      <c r="G29" s="181"/>
      <c r="H29" s="181"/>
      <c r="I29" s="181"/>
      <c r="J29" s="4">
        <f>IF(G29=0,0,LOOKUP(G29,'Equipment Data'!$A$12:$A$69,'Equipment Data'!$B$12:$B$69))</f>
        <v>0</v>
      </c>
      <c r="K29" s="20">
        <f>IF(G29=0,0,LOOKUP(G29,'Equipment Data'!$A$12:$A$69,'Equipment Data'!$C$12:$C$69))</f>
        <v>0</v>
      </c>
      <c r="L29" s="2"/>
    </row>
    <row r="30" spans="1:12">
      <c r="A30" s="2"/>
      <c r="B30" s="183"/>
      <c r="C30" s="181"/>
      <c r="D30" s="181"/>
      <c r="E30" s="4">
        <f>IF(B30=0,0,LOOKUP(B30,'Equipment Data'!$A$12:$A$69,'Equipment Data'!$B$12:$B$69))</f>
        <v>0</v>
      </c>
      <c r="F30" s="4">
        <f>IF(B30=0,0,LOOKUP(B30,'Equipment Data'!$A$12:$A$69,'Equipment Data'!$C$12:$C$69))</f>
        <v>0</v>
      </c>
      <c r="G30" s="181"/>
      <c r="H30" s="181"/>
      <c r="I30" s="181"/>
      <c r="J30" s="4">
        <f>IF(G30=0,0,LOOKUP(G30,'Equipment Data'!$A$12:$A$69,'Equipment Data'!$B$12:$B$69))</f>
        <v>0</v>
      </c>
      <c r="K30" s="20">
        <f>IF(G30=0,0,LOOKUP(G30,'Equipment Data'!$A$12:$A$69,'Equipment Data'!$C$12:$C$69))</f>
        <v>0</v>
      </c>
      <c r="L30" s="2"/>
    </row>
    <row r="31" spans="1:12">
      <c r="A31" s="2"/>
      <c r="B31" s="183"/>
      <c r="C31" s="181"/>
      <c r="D31" s="181"/>
      <c r="E31" s="4">
        <f>IF(B31=0,0,LOOKUP(B31,'Equipment Data'!$A$12:$A$69,'Equipment Data'!$B$12:$B$69))</f>
        <v>0</v>
      </c>
      <c r="F31" s="4">
        <f>IF(B31=0,0,LOOKUP(B31,'Equipment Data'!$A$12:$A$69,'Equipment Data'!$C$12:$C$69))</f>
        <v>0</v>
      </c>
      <c r="G31" s="181"/>
      <c r="H31" s="181"/>
      <c r="I31" s="181"/>
      <c r="J31" s="4">
        <f>IF(G31=0,0,LOOKUP(G31,'Equipment Data'!$A$12:$A$69,'Equipment Data'!$B$12:$B$69))</f>
        <v>0</v>
      </c>
      <c r="K31" s="20">
        <f>IF(G31=0,0,LOOKUP(G31,'Equipment Data'!$A$12:$A$69,'Equipment Data'!$C$12:$C$69))</f>
        <v>0</v>
      </c>
      <c r="L31" s="2"/>
    </row>
    <row r="32" spans="1:12" ht="16" thickBot="1">
      <c r="A32" s="2"/>
      <c r="B32" s="184"/>
      <c r="C32" s="182"/>
      <c r="D32" s="182"/>
      <c r="E32" s="82">
        <f>IF(B32=0,0,LOOKUP(B32,'Equipment Data'!$A$12:$A$69,'Equipment Data'!$B$12:$B$69))</f>
        <v>0</v>
      </c>
      <c r="F32" s="82">
        <f>IF(B32=0,0,LOOKUP(B32,'Equipment Data'!$A$12:$A$69,'Equipment Data'!$C$12:$C$69))</f>
        <v>0</v>
      </c>
      <c r="G32" s="182"/>
      <c r="H32" s="182"/>
      <c r="I32" s="182"/>
      <c r="J32" s="82">
        <f>IF(G32=0,0,LOOKUP(G32,'Equipment Data'!$A$12:$A$69,'Equipment Data'!$B$12:$B$69))</f>
        <v>0</v>
      </c>
      <c r="K32" s="21">
        <f>IF(G32=0,0,LOOKUP(G32,'Equipment Data'!$A$12:$A$69,'Equipment Data'!$C$12:$C$69))</f>
        <v>0</v>
      </c>
      <c r="L32" s="2"/>
    </row>
    <row r="33" spans="1:12">
      <c r="A33" s="2"/>
      <c r="B33" s="15">
        <f>SUM(C4:C11)+SUM(E15:E32)+SUM(J15:J32)</f>
        <v>0</v>
      </c>
      <c r="C33" s="2"/>
      <c r="D33" s="2"/>
      <c r="E33" s="2"/>
      <c r="F33" s="2"/>
      <c r="G33" s="2"/>
      <c r="H33" s="2"/>
      <c r="I33" s="2"/>
      <c r="J33" s="2"/>
      <c r="K33" s="2"/>
      <c r="L33" s="2"/>
    </row>
  </sheetData>
  <mergeCells count="38">
    <mergeCell ref="B25:D25"/>
    <mergeCell ref="B16:D16"/>
    <mergeCell ref="B17:D17"/>
    <mergeCell ref="B18:D18"/>
    <mergeCell ref="B19:D19"/>
    <mergeCell ref="B20:D20"/>
    <mergeCell ref="G32:I32"/>
    <mergeCell ref="B15:D15"/>
    <mergeCell ref="B31:D31"/>
    <mergeCell ref="B32:D32"/>
    <mergeCell ref="G15:I15"/>
    <mergeCell ref="G16:I16"/>
    <mergeCell ref="G17:I17"/>
    <mergeCell ref="G18:I18"/>
    <mergeCell ref="G19:I19"/>
    <mergeCell ref="G20:I20"/>
    <mergeCell ref="G21:I21"/>
    <mergeCell ref="G22:I22"/>
    <mergeCell ref="G23:I23"/>
    <mergeCell ref="G24:I24"/>
    <mergeCell ref="G25:I25"/>
    <mergeCell ref="G26:I26"/>
    <mergeCell ref="B2:K2"/>
    <mergeCell ref="B13:K13"/>
    <mergeCell ref="G29:I29"/>
    <mergeCell ref="G30:I30"/>
    <mergeCell ref="G31:I31"/>
    <mergeCell ref="G27:I27"/>
    <mergeCell ref="G28:I28"/>
    <mergeCell ref="B26:D26"/>
    <mergeCell ref="B27:D27"/>
    <mergeCell ref="B28:D28"/>
    <mergeCell ref="B29:D29"/>
    <mergeCell ref="B30:D30"/>
    <mergeCell ref="B21:D21"/>
    <mergeCell ref="B22:D22"/>
    <mergeCell ref="B23:D23"/>
    <mergeCell ref="B24:D24"/>
  </mergeCells>
  <dataValidations count="1">
    <dataValidation type="list" allowBlank="1" showInputMessage="1" showErrorMessage="1" sqref="G15:I32">
      <formula1>$A$11:$A$81</formula1>
    </dataValidation>
  </dataValidations>
  <pageMargins left="0.75" right="0.75" top="1" bottom="1" header="0.5" footer="0.5"/>
  <pageSetup orientation="portrait" horizontalDpi="4294967292" verticalDpi="4294967292"/>
  <ignoredErrors>
    <ignoredError sqref="C5:C11 C4 E4:K4 E5:K11 D4:D11 E15:F32 J15:K32" emptyCellReference="1"/>
  </ignoredErrors>
  <extLst>
    <ext xmlns:x14="http://schemas.microsoft.com/office/spreadsheetml/2009/9/main" uri="{CCE6A557-97BC-4b89-ADB6-D9C93CAAB3DF}">
      <x14:dataValidations xmlns:xm="http://schemas.microsoft.com/office/excel/2006/main" count="2">
        <x14:dataValidation type="list" allowBlank="1" showInputMessage="1" showErrorMessage="1">
          <x14:formula1>
            <xm:f>'Weapons Data'!$A$3:$A$40</xm:f>
          </x14:formula1>
          <xm:sqref>B4:B11</xm:sqref>
        </x14:dataValidation>
        <x14:dataValidation type="list" allowBlank="1" showInputMessage="1" showErrorMessage="1">
          <x14:formula1>
            <xm:f>'Equipment Data'!$A$12:$A$82</xm:f>
          </x14:formula1>
          <xm:sqref>B15:D32</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election activeCell="B1" sqref="B1"/>
    </sheetView>
  </sheetViews>
  <sheetFormatPr baseColWidth="10" defaultRowHeight="15" x14ac:dyDescent="0"/>
  <cols>
    <col min="1" max="1" width="3" customWidth="1"/>
    <col min="2" max="2" width="4" customWidth="1"/>
    <col min="3" max="3" width="3.83203125" customWidth="1"/>
    <col min="4" max="4" width="14.5" customWidth="1"/>
    <col min="5" max="5" width="20.5" customWidth="1"/>
    <col min="6" max="6" width="6" customWidth="1"/>
    <col min="7" max="7" width="21" customWidth="1"/>
    <col min="8" max="8" width="3.5" customWidth="1"/>
  </cols>
  <sheetData>
    <row r="1" spans="1:9" ht="16" thickBot="1">
      <c r="A1" s="245" t="s">
        <v>488</v>
      </c>
      <c r="B1" s="2"/>
      <c r="C1" s="2"/>
      <c r="D1" s="2"/>
      <c r="E1" s="2"/>
      <c r="F1" s="2"/>
      <c r="G1" s="2"/>
      <c r="H1" s="2"/>
    </row>
    <row r="2" spans="1:9" ht="18" thickTop="1">
      <c r="A2" s="2"/>
      <c r="B2" s="196" t="s">
        <v>203</v>
      </c>
      <c r="C2" s="197"/>
      <c r="D2" s="197"/>
      <c r="E2" s="197"/>
      <c r="F2" s="197"/>
      <c r="G2" s="198"/>
      <c r="H2" s="15" t="s">
        <v>298</v>
      </c>
      <c r="I2" s="7"/>
    </row>
    <row r="3" spans="1:9">
      <c r="A3" s="2"/>
      <c r="B3" s="201" t="s">
        <v>180</v>
      </c>
      <c r="C3" s="202"/>
      <c r="D3" s="202"/>
      <c r="E3" s="199"/>
      <c r="F3" s="199"/>
      <c r="G3" s="200"/>
      <c r="H3" s="15"/>
      <c r="I3" s="7"/>
    </row>
    <row r="4" spans="1:9">
      <c r="A4" s="2"/>
      <c r="B4" s="107" t="s">
        <v>301</v>
      </c>
      <c r="C4" s="108" t="s">
        <v>300</v>
      </c>
      <c r="D4" s="108" t="s">
        <v>181</v>
      </c>
      <c r="E4" s="108" t="s">
        <v>183</v>
      </c>
      <c r="F4" s="109" t="s">
        <v>299</v>
      </c>
      <c r="G4" s="110" t="s">
        <v>201</v>
      </c>
      <c r="H4" s="15"/>
      <c r="I4" s="7"/>
    </row>
    <row r="5" spans="1:9">
      <c r="A5" s="2"/>
      <c r="B5" s="111"/>
      <c r="C5" s="112">
        <f>IF(B5/H5&gt;6,6,ROUNDDOWN(B5/H5,0))</f>
        <v>0</v>
      </c>
      <c r="D5" s="113" t="s">
        <v>182</v>
      </c>
      <c r="E5" s="113" t="s">
        <v>56</v>
      </c>
      <c r="F5" s="114">
        <f>C5*0.1</f>
        <v>0</v>
      </c>
      <c r="G5" s="115"/>
      <c r="H5" s="15">
        <f>IF($E$3="Military",3,6)</f>
        <v>6</v>
      </c>
      <c r="I5" s="135" t="s">
        <v>175</v>
      </c>
    </row>
    <row r="6" spans="1:9">
      <c r="A6" s="2"/>
      <c r="B6" s="111"/>
      <c r="C6" s="112">
        <f>IF(B6/H6&gt;6,6,ROUNDDOWN(B6/H6,0))</f>
        <v>0</v>
      </c>
      <c r="D6" s="113" t="s">
        <v>184</v>
      </c>
      <c r="E6" s="113" t="s">
        <v>56</v>
      </c>
      <c r="F6" s="114">
        <f>C6*0.1</f>
        <v>0</v>
      </c>
      <c r="G6" s="115"/>
      <c r="H6" s="15">
        <f>IF($E$3="Military",3,6)</f>
        <v>6</v>
      </c>
      <c r="I6" s="135" t="s">
        <v>177</v>
      </c>
    </row>
    <row r="7" spans="1:9">
      <c r="A7" s="2"/>
      <c r="B7" s="111"/>
      <c r="C7" s="112">
        <f>IF(B7&gt;6,6,ROUNDDOWN(B7/H7,0))</f>
        <v>0</v>
      </c>
      <c r="D7" s="113" t="s">
        <v>185</v>
      </c>
      <c r="E7" s="113" t="s">
        <v>56</v>
      </c>
      <c r="F7" s="114">
        <f>C7*0.1</f>
        <v>0</v>
      </c>
      <c r="G7" s="115"/>
      <c r="H7" s="15">
        <f>IF($E$3="Military",3,6)</f>
        <v>6</v>
      </c>
      <c r="I7" s="135" t="s">
        <v>179</v>
      </c>
    </row>
    <row r="8" spans="1:9">
      <c r="A8" s="2"/>
      <c r="B8" s="111"/>
      <c r="C8" s="112">
        <f>IF(B8/H8&gt;6,6,ROUNDDOWN(B8/H8,0))</f>
        <v>0</v>
      </c>
      <c r="D8" s="113" t="s">
        <v>186</v>
      </c>
      <c r="E8" s="113" t="s">
        <v>56</v>
      </c>
      <c r="F8" s="114">
        <f>C8*0.1</f>
        <v>0</v>
      </c>
      <c r="G8" s="115"/>
      <c r="H8" s="19">
        <f>IF($E$3="Military",3,6)</f>
        <v>6</v>
      </c>
      <c r="I8" s="135" t="s">
        <v>176</v>
      </c>
    </row>
    <row r="9" spans="1:9">
      <c r="A9" s="2"/>
      <c r="B9" s="190"/>
      <c r="C9" s="189">
        <f>IF(B9/H9&gt;6,6,ROUNDDOWN(B9/H9,0))</f>
        <v>0</v>
      </c>
      <c r="D9" s="187" t="s">
        <v>187</v>
      </c>
      <c r="E9" s="116" t="s">
        <v>189</v>
      </c>
      <c r="F9" s="117">
        <f>30%+0.1*C9</f>
        <v>0.3</v>
      </c>
      <c r="G9" s="118"/>
      <c r="H9" s="186">
        <f>IF($E$3="Military",3,6)</f>
        <v>6</v>
      </c>
      <c r="I9" s="7"/>
    </row>
    <row r="10" spans="1:9">
      <c r="A10" s="2"/>
      <c r="B10" s="190"/>
      <c r="C10" s="189"/>
      <c r="D10" s="187"/>
      <c r="E10" s="116" t="s">
        <v>190</v>
      </c>
      <c r="F10" s="117">
        <f>50%+0.1*C9</f>
        <v>0.5</v>
      </c>
      <c r="G10" s="118" t="s">
        <v>271</v>
      </c>
      <c r="H10" s="186"/>
      <c r="I10" s="7"/>
    </row>
    <row r="11" spans="1:9">
      <c r="A11" s="2"/>
      <c r="B11" s="111"/>
      <c r="C11" s="112">
        <f>IF(B11/H11&gt;6,6,ROUNDDOWN(B11/H11,0))</f>
        <v>0</v>
      </c>
      <c r="D11" s="113" t="s">
        <v>188</v>
      </c>
      <c r="E11" s="113" t="s">
        <v>56</v>
      </c>
      <c r="F11" s="114">
        <f>C11*0.1</f>
        <v>0</v>
      </c>
      <c r="G11" s="115"/>
      <c r="H11" s="15">
        <f>IF($E$3="Military",3,6)</f>
        <v>6</v>
      </c>
      <c r="I11" s="7"/>
    </row>
    <row r="12" spans="1:9">
      <c r="A12" s="2"/>
      <c r="B12" s="190"/>
      <c r="C12" s="189">
        <f>IF(B12/H12&gt;6,6,ROUNDDOWN(B12/H12,0))</f>
        <v>0</v>
      </c>
      <c r="D12" s="187" t="s">
        <v>191</v>
      </c>
      <c r="E12" s="116" t="s">
        <v>192</v>
      </c>
      <c r="F12" s="117">
        <f>C12*0.1+30%</f>
        <v>0.3</v>
      </c>
      <c r="G12" s="118"/>
      <c r="H12" s="185">
        <f>IF($E$3="Biosocial",5,10)</f>
        <v>10</v>
      </c>
      <c r="I12" s="7"/>
    </row>
    <row r="13" spans="1:9">
      <c r="A13" s="2"/>
      <c r="B13" s="190"/>
      <c r="C13" s="189"/>
      <c r="D13" s="187"/>
      <c r="E13" s="116" t="s">
        <v>193</v>
      </c>
      <c r="F13" s="117">
        <f>C12*0.1+50%</f>
        <v>0.5</v>
      </c>
      <c r="G13" s="118"/>
      <c r="H13" s="185"/>
      <c r="I13" s="7"/>
    </row>
    <row r="14" spans="1:9">
      <c r="A14" s="2"/>
      <c r="B14" s="190"/>
      <c r="C14" s="189"/>
      <c r="D14" s="187"/>
      <c r="E14" s="116" t="s">
        <v>194</v>
      </c>
      <c r="F14" s="117">
        <f>C12*0.1+10%</f>
        <v>0.1</v>
      </c>
      <c r="G14" s="118"/>
      <c r="H14" s="185"/>
      <c r="I14" s="7"/>
    </row>
    <row r="15" spans="1:9">
      <c r="A15" s="2"/>
      <c r="B15" s="190"/>
      <c r="C15" s="189"/>
      <c r="D15" s="187"/>
      <c r="E15" s="116" t="s">
        <v>195</v>
      </c>
      <c r="F15" s="117">
        <f>50%+C12*0.1</f>
        <v>0.5</v>
      </c>
      <c r="G15" s="118"/>
      <c r="H15" s="185"/>
      <c r="I15" s="7"/>
    </row>
    <row r="16" spans="1:9">
      <c r="A16" s="2"/>
      <c r="B16" s="190"/>
      <c r="C16" s="189"/>
      <c r="D16" s="187"/>
      <c r="E16" s="116" t="s">
        <v>196</v>
      </c>
      <c r="F16" s="117">
        <v>1</v>
      </c>
      <c r="G16" s="118" t="s">
        <v>202</v>
      </c>
      <c r="H16" s="185"/>
      <c r="I16" s="7"/>
    </row>
    <row r="17" spans="1:9">
      <c r="A17" s="2"/>
      <c r="B17" s="190"/>
      <c r="C17" s="189"/>
      <c r="D17" s="187"/>
      <c r="E17" s="116" t="s">
        <v>197</v>
      </c>
      <c r="F17" s="117">
        <v>1</v>
      </c>
      <c r="G17" s="118"/>
      <c r="H17" s="185"/>
      <c r="I17" s="7"/>
    </row>
    <row r="18" spans="1:9">
      <c r="A18" s="2"/>
      <c r="B18" s="190"/>
      <c r="C18" s="189"/>
      <c r="D18" s="187"/>
      <c r="E18" s="116" t="s">
        <v>198</v>
      </c>
      <c r="F18" s="117">
        <f>20%+C12*0.1</f>
        <v>0.2</v>
      </c>
      <c r="G18" s="118"/>
      <c r="H18" s="185"/>
      <c r="I18" s="7"/>
    </row>
    <row r="19" spans="1:9">
      <c r="A19" s="2"/>
      <c r="B19" s="190"/>
      <c r="C19" s="189"/>
      <c r="D19" s="187"/>
      <c r="E19" s="116" t="s">
        <v>199</v>
      </c>
      <c r="F19" s="117">
        <f>40%+C12*0.1</f>
        <v>0.4</v>
      </c>
      <c r="G19" s="118"/>
      <c r="H19" s="185"/>
      <c r="I19" s="7"/>
    </row>
    <row r="20" spans="1:9">
      <c r="A20" s="2"/>
      <c r="B20" s="190"/>
      <c r="C20" s="189"/>
      <c r="D20" s="187"/>
      <c r="E20" s="116" t="s">
        <v>200</v>
      </c>
      <c r="F20" s="117">
        <f>30%+C12*0.1</f>
        <v>0.3</v>
      </c>
      <c r="G20" s="118"/>
      <c r="H20" s="185"/>
      <c r="I20" s="7"/>
    </row>
    <row r="21" spans="1:9">
      <c r="A21" s="2"/>
      <c r="B21" s="191"/>
      <c r="C21" s="192">
        <f>IF(B21/H21&gt;6,6,ROUNDDOWN(B21/H21,0))</f>
        <v>0</v>
      </c>
      <c r="D21" s="188" t="s">
        <v>204</v>
      </c>
      <c r="E21" s="119" t="s">
        <v>205</v>
      </c>
      <c r="F21" s="120">
        <f>30%+C21*0.1</f>
        <v>0.3</v>
      </c>
      <c r="G21" s="121"/>
      <c r="H21" s="185">
        <f>IF($E$3="Biosocial",5,10)</f>
        <v>10</v>
      </c>
      <c r="I21" s="7"/>
    </row>
    <row r="22" spans="1:9">
      <c r="A22" s="2"/>
      <c r="B22" s="190"/>
      <c r="C22" s="189"/>
      <c r="D22" s="187"/>
      <c r="E22" s="116" t="s">
        <v>206</v>
      </c>
      <c r="F22" s="117">
        <v>1</v>
      </c>
      <c r="G22" s="118"/>
      <c r="H22" s="185"/>
      <c r="I22" s="7"/>
    </row>
    <row r="23" spans="1:9">
      <c r="A23" s="2"/>
      <c r="B23" s="190"/>
      <c r="C23" s="189"/>
      <c r="D23" s="187"/>
      <c r="E23" s="116" t="s">
        <v>207</v>
      </c>
      <c r="F23" s="117">
        <f>50%+C21*0.1</f>
        <v>0.5</v>
      </c>
      <c r="G23" s="118"/>
      <c r="H23" s="185"/>
      <c r="I23" s="7"/>
    </row>
    <row r="24" spans="1:9">
      <c r="A24" s="2"/>
      <c r="B24" s="190"/>
      <c r="C24" s="189"/>
      <c r="D24" s="187"/>
      <c r="E24" s="116" t="s">
        <v>208</v>
      </c>
      <c r="F24" s="117">
        <f>40%+C21*0.1</f>
        <v>0.4</v>
      </c>
      <c r="G24" s="118"/>
      <c r="H24" s="185"/>
      <c r="I24" s="7"/>
    </row>
    <row r="25" spans="1:9">
      <c r="A25" s="2"/>
      <c r="B25" s="190"/>
      <c r="C25" s="189"/>
      <c r="D25" s="187"/>
      <c r="E25" s="116" t="s">
        <v>209</v>
      </c>
      <c r="F25" s="117">
        <f>60%+C21*0.1</f>
        <v>0.6</v>
      </c>
      <c r="G25" s="118"/>
      <c r="H25" s="185"/>
      <c r="I25" s="7"/>
    </row>
    <row r="26" spans="1:9">
      <c r="A26" s="2"/>
      <c r="B26" s="190"/>
      <c r="C26" s="189"/>
      <c r="D26" s="187"/>
      <c r="E26" s="116" t="s">
        <v>210</v>
      </c>
      <c r="F26" s="117">
        <v>1</v>
      </c>
      <c r="G26" s="118"/>
      <c r="H26" s="185"/>
      <c r="I26" s="7"/>
    </row>
    <row r="27" spans="1:9">
      <c r="A27" s="2"/>
      <c r="B27" s="190"/>
      <c r="C27" s="189"/>
      <c r="D27" s="187"/>
      <c r="E27" s="116" t="s">
        <v>211</v>
      </c>
      <c r="F27" s="117">
        <f>20%+C21*0.1</f>
        <v>0.2</v>
      </c>
      <c r="G27" s="118"/>
      <c r="H27" s="185"/>
      <c r="I27" s="7"/>
    </row>
    <row r="28" spans="1:9">
      <c r="A28" s="2"/>
      <c r="B28" s="190"/>
      <c r="C28" s="189"/>
      <c r="D28" s="187"/>
      <c r="E28" s="116" t="s">
        <v>212</v>
      </c>
      <c r="F28" s="117">
        <f>40%+C21*0.1</f>
        <v>0.4</v>
      </c>
      <c r="G28" s="118"/>
      <c r="H28" s="185"/>
      <c r="I28" s="7"/>
    </row>
    <row r="29" spans="1:9">
      <c r="A29" s="2"/>
      <c r="B29" s="195"/>
      <c r="C29" s="194"/>
      <c r="D29" s="193"/>
      <c r="E29" s="122" t="s">
        <v>213</v>
      </c>
      <c r="F29" s="123">
        <f>30%+C21*0.1</f>
        <v>0.3</v>
      </c>
      <c r="G29" s="124"/>
      <c r="H29" s="185"/>
      <c r="I29" s="7"/>
    </row>
    <row r="30" spans="1:9">
      <c r="A30" s="2"/>
      <c r="B30" s="190"/>
      <c r="C30" s="189">
        <f>IF(B30/H30&gt;6,6,ROUNDDOWN(B30/H30,0))</f>
        <v>0</v>
      </c>
      <c r="D30" s="187" t="s">
        <v>214</v>
      </c>
      <c r="E30" s="116" t="s">
        <v>215</v>
      </c>
      <c r="F30" s="117">
        <f>40%+C30*0.1</f>
        <v>0.4</v>
      </c>
      <c r="G30" s="118"/>
      <c r="H30" s="185">
        <f>IF($E$3="Biosocial",5,10)</f>
        <v>10</v>
      </c>
      <c r="I30" s="7"/>
    </row>
    <row r="31" spans="1:9">
      <c r="A31" s="2"/>
      <c r="B31" s="190"/>
      <c r="C31" s="189"/>
      <c r="D31" s="187"/>
      <c r="E31" s="116" t="s">
        <v>216</v>
      </c>
      <c r="F31" s="117">
        <f>10%+C30*0.1</f>
        <v>0.1</v>
      </c>
      <c r="G31" s="118"/>
      <c r="H31" s="185"/>
      <c r="I31" s="7"/>
    </row>
    <row r="32" spans="1:9">
      <c r="A32" s="2"/>
      <c r="B32" s="190"/>
      <c r="C32" s="189"/>
      <c r="D32" s="187"/>
      <c r="E32" s="116" t="s">
        <v>217</v>
      </c>
      <c r="F32" s="117">
        <f>15%+C30*0.1</f>
        <v>0.15</v>
      </c>
      <c r="G32" s="118"/>
      <c r="H32" s="185"/>
      <c r="I32" s="7"/>
    </row>
    <row r="33" spans="1:9">
      <c r="A33" s="2"/>
      <c r="B33" s="190"/>
      <c r="C33" s="189"/>
      <c r="D33" s="187"/>
      <c r="E33" s="116" t="s">
        <v>218</v>
      </c>
      <c r="F33" s="117">
        <f>10%+C30*0.1</f>
        <v>0.1</v>
      </c>
      <c r="G33" s="118"/>
      <c r="H33" s="185"/>
      <c r="I33" s="7"/>
    </row>
    <row r="34" spans="1:9">
      <c r="A34" s="2"/>
      <c r="B34" s="190"/>
      <c r="C34" s="189"/>
      <c r="D34" s="187"/>
      <c r="E34" s="116" t="s">
        <v>219</v>
      </c>
      <c r="F34" s="117">
        <f>30%+C30*0.1</f>
        <v>0.3</v>
      </c>
      <c r="G34" s="118"/>
      <c r="H34" s="185"/>
      <c r="I34" s="7"/>
    </row>
    <row r="35" spans="1:9">
      <c r="A35" s="2"/>
      <c r="B35" s="191"/>
      <c r="C35" s="192">
        <f>IF(B35/H35&gt;6,6,ROUNDDOWN(B35/H35,0))</f>
        <v>0</v>
      </c>
      <c r="D35" s="188" t="s">
        <v>268</v>
      </c>
      <c r="E35" s="119" t="s">
        <v>269</v>
      </c>
      <c r="F35" s="120">
        <f>30%+C35*0.1</f>
        <v>0.3</v>
      </c>
      <c r="G35" s="121" t="s">
        <v>270</v>
      </c>
      <c r="H35" s="185">
        <f>IF($E$3="Technical",4,8)</f>
        <v>8</v>
      </c>
      <c r="I35" s="7"/>
    </row>
    <row r="36" spans="1:9">
      <c r="A36" s="2"/>
      <c r="B36" s="190"/>
      <c r="C36" s="189"/>
      <c r="D36" s="187"/>
      <c r="E36" s="116" t="s">
        <v>272</v>
      </c>
      <c r="F36" s="117">
        <f>60%+C35*0.1</f>
        <v>0.6</v>
      </c>
      <c r="G36" s="118" t="s">
        <v>270</v>
      </c>
      <c r="H36" s="185"/>
      <c r="I36" s="7"/>
    </row>
    <row r="37" spans="1:9">
      <c r="A37" s="2"/>
      <c r="B37" s="190"/>
      <c r="C37" s="189"/>
      <c r="D37" s="187"/>
      <c r="E37" s="116" t="s">
        <v>273</v>
      </c>
      <c r="F37" s="117">
        <f>80%+C35*0.1</f>
        <v>0.8</v>
      </c>
      <c r="G37" s="118" t="s">
        <v>280</v>
      </c>
      <c r="H37" s="185"/>
      <c r="I37" s="7"/>
    </row>
    <row r="38" spans="1:9">
      <c r="A38" s="2"/>
      <c r="B38" s="190"/>
      <c r="C38" s="189"/>
      <c r="D38" s="187"/>
      <c r="E38" s="116" t="s">
        <v>274</v>
      </c>
      <c r="F38" s="117">
        <f>30%+C35*0.1</f>
        <v>0.3</v>
      </c>
      <c r="G38" s="118" t="s">
        <v>280</v>
      </c>
      <c r="H38" s="185"/>
      <c r="I38" s="7"/>
    </row>
    <row r="39" spans="1:9">
      <c r="A39" s="2"/>
      <c r="B39" s="190"/>
      <c r="C39" s="189"/>
      <c r="D39" s="187"/>
      <c r="E39" s="116" t="s">
        <v>275</v>
      </c>
      <c r="F39" s="117">
        <f>50%+C35*0.1</f>
        <v>0.5</v>
      </c>
      <c r="G39" s="118" t="s">
        <v>270</v>
      </c>
      <c r="H39" s="185"/>
      <c r="I39" s="7"/>
    </row>
    <row r="40" spans="1:9">
      <c r="A40" s="2"/>
      <c r="B40" s="190"/>
      <c r="C40" s="189"/>
      <c r="D40" s="187"/>
      <c r="E40" s="116" t="s">
        <v>276</v>
      </c>
      <c r="F40" s="117">
        <f>100%+C35*0.1</f>
        <v>1</v>
      </c>
      <c r="G40" s="118" t="s">
        <v>280</v>
      </c>
      <c r="H40" s="185"/>
    </row>
    <row r="41" spans="1:9">
      <c r="A41" s="2"/>
      <c r="B41" s="190"/>
      <c r="C41" s="189"/>
      <c r="D41" s="187"/>
      <c r="E41" s="116" t="s">
        <v>277</v>
      </c>
      <c r="F41" s="117">
        <f>40%+C35*0.1</f>
        <v>0.4</v>
      </c>
      <c r="G41" s="118"/>
      <c r="H41" s="185"/>
    </row>
    <row r="42" spans="1:9">
      <c r="A42" s="2"/>
      <c r="B42" s="195"/>
      <c r="C42" s="194"/>
      <c r="D42" s="193"/>
      <c r="E42" s="122" t="s">
        <v>278</v>
      </c>
      <c r="F42" s="123" t="s">
        <v>279</v>
      </c>
      <c r="G42" s="124"/>
      <c r="H42" s="185"/>
    </row>
    <row r="43" spans="1:9">
      <c r="A43" s="2"/>
      <c r="B43" s="190"/>
      <c r="C43" s="189">
        <f>IF(B43/H43&gt;6,6,ROUNDDOWN(B43/H43,0))</f>
        <v>0</v>
      </c>
      <c r="D43" s="187" t="s">
        <v>281</v>
      </c>
      <c r="E43" s="116" t="s">
        <v>282</v>
      </c>
      <c r="F43" s="117">
        <v>1</v>
      </c>
      <c r="G43" s="118"/>
      <c r="H43" s="185">
        <f>IF($E$3="Technical",4,8)</f>
        <v>8</v>
      </c>
    </row>
    <row r="44" spans="1:9">
      <c r="A44" s="2"/>
      <c r="B44" s="190"/>
      <c r="C44" s="189"/>
      <c r="D44" s="187"/>
      <c r="E44" s="116" t="s">
        <v>283</v>
      </c>
      <c r="F44" s="117">
        <v>1</v>
      </c>
      <c r="G44" s="118"/>
      <c r="H44" s="185"/>
    </row>
    <row r="45" spans="1:9">
      <c r="A45" s="2"/>
      <c r="B45" s="190"/>
      <c r="C45" s="189"/>
      <c r="D45" s="187"/>
      <c r="E45" s="116" t="s">
        <v>284</v>
      </c>
      <c r="F45" s="117">
        <f>60%+C43*0.1</f>
        <v>0.6</v>
      </c>
      <c r="G45" s="118" t="s">
        <v>290</v>
      </c>
      <c r="H45" s="185"/>
    </row>
    <row r="46" spans="1:9">
      <c r="A46" s="2"/>
      <c r="B46" s="190"/>
      <c r="C46" s="189"/>
      <c r="D46" s="187"/>
      <c r="E46" s="116" t="s">
        <v>285</v>
      </c>
      <c r="F46" s="117">
        <f>50%+C43*0.1</f>
        <v>0.5</v>
      </c>
      <c r="G46" s="118" t="s">
        <v>290</v>
      </c>
      <c r="H46" s="185"/>
    </row>
    <row r="47" spans="1:9">
      <c r="A47" s="2"/>
      <c r="B47" s="190"/>
      <c r="C47" s="189"/>
      <c r="D47" s="187"/>
      <c r="E47" s="116" t="s">
        <v>286</v>
      </c>
      <c r="F47" s="117">
        <f>100%+C43*0.1</f>
        <v>1</v>
      </c>
      <c r="G47" s="118" t="s">
        <v>290</v>
      </c>
      <c r="H47" s="185"/>
    </row>
    <row r="48" spans="1:9">
      <c r="A48" s="2"/>
      <c r="B48" s="190"/>
      <c r="C48" s="189"/>
      <c r="D48" s="187"/>
      <c r="E48" s="116" t="s">
        <v>287</v>
      </c>
      <c r="F48" s="117">
        <f>90%+C43*0.1</f>
        <v>0.9</v>
      </c>
      <c r="G48" s="118" t="s">
        <v>290</v>
      </c>
      <c r="H48" s="185"/>
    </row>
    <row r="49" spans="1:8">
      <c r="A49" s="2"/>
      <c r="B49" s="190"/>
      <c r="C49" s="189"/>
      <c r="D49" s="187"/>
      <c r="E49" s="116" t="s">
        <v>288</v>
      </c>
      <c r="F49" s="117">
        <f>70%+C43*0.1</f>
        <v>0.7</v>
      </c>
      <c r="G49" s="118" t="s">
        <v>290</v>
      </c>
      <c r="H49" s="185"/>
    </row>
    <row r="50" spans="1:8">
      <c r="A50" s="2"/>
      <c r="B50" s="190"/>
      <c r="C50" s="189"/>
      <c r="D50" s="187"/>
      <c r="E50" s="116" t="s">
        <v>289</v>
      </c>
      <c r="F50" s="117">
        <f>40%+C43*0.1</f>
        <v>0.4</v>
      </c>
      <c r="G50" s="118" t="s">
        <v>290</v>
      </c>
      <c r="H50" s="185"/>
    </row>
    <row r="51" spans="1:8">
      <c r="A51" s="2"/>
      <c r="B51" s="191"/>
      <c r="C51" s="192">
        <f>IF(B51/H51&gt;6,6,ROUNDDOWN(B51/H51,0))</f>
        <v>0</v>
      </c>
      <c r="D51" s="188" t="s">
        <v>291</v>
      </c>
      <c r="E51" s="119" t="s">
        <v>292</v>
      </c>
      <c r="F51" s="120">
        <f>40%+C51*0.1</f>
        <v>0.4</v>
      </c>
      <c r="G51" s="121" t="s">
        <v>297</v>
      </c>
      <c r="H51" s="185">
        <f>IF($E$3="Technical",4,8)</f>
        <v>8</v>
      </c>
    </row>
    <row r="52" spans="1:8">
      <c r="A52" s="2"/>
      <c r="B52" s="190"/>
      <c r="C52" s="189"/>
      <c r="D52" s="187"/>
      <c r="E52" s="116" t="s">
        <v>293</v>
      </c>
      <c r="F52" s="117">
        <f>60%+C51*0.1</f>
        <v>0.6</v>
      </c>
      <c r="G52" s="118" t="s">
        <v>297</v>
      </c>
      <c r="H52" s="185"/>
    </row>
    <row r="53" spans="1:8">
      <c r="A53" s="2"/>
      <c r="B53" s="190"/>
      <c r="C53" s="189"/>
      <c r="D53" s="187"/>
      <c r="E53" s="116" t="s">
        <v>294</v>
      </c>
      <c r="F53" s="117">
        <f>50%+C51*0.1</f>
        <v>0.5</v>
      </c>
      <c r="G53" s="118" t="s">
        <v>297</v>
      </c>
      <c r="H53" s="185"/>
    </row>
    <row r="54" spans="1:8">
      <c r="A54" s="2"/>
      <c r="B54" s="190"/>
      <c r="C54" s="189"/>
      <c r="D54" s="187"/>
      <c r="E54" s="116" t="s">
        <v>295</v>
      </c>
      <c r="F54" s="117">
        <f>50%+C51*0.1</f>
        <v>0.5</v>
      </c>
      <c r="G54" s="118"/>
      <c r="H54" s="185"/>
    </row>
    <row r="55" spans="1:8">
      <c r="A55" s="2"/>
      <c r="B55" s="190"/>
      <c r="C55" s="189"/>
      <c r="D55" s="187"/>
      <c r="E55" s="116" t="s">
        <v>296</v>
      </c>
      <c r="F55" s="117">
        <f>40%+C51*0.1</f>
        <v>0.4</v>
      </c>
      <c r="G55" s="118"/>
      <c r="H55" s="185"/>
    </row>
    <row r="56" spans="1:8" ht="15" customHeight="1">
      <c r="A56" s="2"/>
      <c r="B56" s="191"/>
      <c r="C56" s="192">
        <f>IF(B56/10&gt;6,6,IF(C51&gt;5,IF(C35&gt;1,ROUNDDOWN(B56/10,0),0),0))</f>
        <v>0</v>
      </c>
      <c r="D56" s="188" t="s">
        <v>436</v>
      </c>
      <c r="E56" s="119" t="s">
        <v>437</v>
      </c>
      <c r="F56" s="120">
        <f>C56*3%</f>
        <v>0</v>
      </c>
      <c r="G56" s="125" t="s">
        <v>461</v>
      </c>
      <c r="H56" s="17"/>
    </row>
    <row r="57" spans="1:8">
      <c r="A57" s="2"/>
      <c r="B57" s="190"/>
      <c r="C57" s="189"/>
      <c r="D57" s="187"/>
      <c r="E57" s="116" t="s">
        <v>438</v>
      </c>
      <c r="F57" s="117">
        <f>C56*0.1+5%</f>
        <v>0.05</v>
      </c>
      <c r="G57" s="126"/>
      <c r="H57" s="17"/>
    </row>
    <row r="58" spans="1:8">
      <c r="A58" s="2"/>
      <c r="B58" s="195"/>
      <c r="C58" s="189"/>
      <c r="D58" s="193"/>
      <c r="E58" s="116" t="s">
        <v>439</v>
      </c>
      <c r="F58" s="117">
        <f>70%+C56*0.1%</f>
        <v>0.7</v>
      </c>
      <c r="G58" s="118"/>
      <c r="H58" s="17"/>
    </row>
    <row r="59" spans="1:8">
      <c r="A59" s="2"/>
      <c r="B59" s="191"/>
      <c r="C59" s="192">
        <f>IF(B35/8&gt;6,6,IF(C35&gt;5,ROUNDDOWN(B35/8,0),0))</f>
        <v>0</v>
      </c>
      <c r="D59" s="188" t="s">
        <v>440</v>
      </c>
      <c r="E59" s="119" t="s">
        <v>442</v>
      </c>
      <c r="F59" s="120">
        <v>1</v>
      </c>
      <c r="G59" s="121" t="s">
        <v>441</v>
      </c>
      <c r="H59" s="17"/>
    </row>
    <row r="60" spans="1:8">
      <c r="A60" s="2"/>
      <c r="B60" s="190"/>
      <c r="C60" s="189"/>
      <c r="D60" s="187"/>
      <c r="E60" s="116" t="s">
        <v>443</v>
      </c>
      <c r="F60" s="117">
        <f>10%*C59*1</f>
        <v>0</v>
      </c>
      <c r="G60" s="127" t="s">
        <v>444</v>
      </c>
      <c r="H60" s="17"/>
    </row>
    <row r="61" spans="1:8">
      <c r="A61" s="2"/>
      <c r="B61" s="190"/>
      <c r="C61" s="189"/>
      <c r="D61" s="187"/>
      <c r="E61" s="116" t="s">
        <v>445</v>
      </c>
      <c r="F61" s="117">
        <f>30%+C59*0.1</f>
        <v>0.3</v>
      </c>
      <c r="G61" s="118"/>
      <c r="H61" s="17"/>
    </row>
    <row r="62" spans="1:8">
      <c r="A62" s="2"/>
      <c r="B62" s="195"/>
      <c r="C62" s="194"/>
      <c r="D62" s="193"/>
      <c r="E62" s="122" t="s">
        <v>446</v>
      </c>
      <c r="F62" s="123">
        <f>50%+C59*0.1</f>
        <v>0.5</v>
      </c>
      <c r="G62" s="128" t="s">
        <v>447</v>
      </c>
      <c r="H62" s="17"/>
    </row>
    <row r="63" spans="1:8">
      <c r="A63" s="2"/>
      <c r="B63" s="191"/>
      <c r="C63" s="189">
        <f>IF(B63/8&gt;6,6,IF(C51&gt;3,IF(C43&gt;1,ROUNDDOWN(B63/8,0),0),0))</f>
        <v>0</v>
      </c>
      <c r="D63" s="188" t="s">
        <v>448</v>
      </c>
      <c r="E63" s="129" t="s">
        <v>449</v>
      </c>
      <c r="F63" s="117">
        <v>1</v>
      </c>
      <c r="G63" s="118" t="s">
        <v>459</v>
      </c>
      <c r="H63" s="17"/>
    </row>
    <row r="64" spans="1:8">
      <c r="A64" s="2"/>
      <c r="B64" s="190"/>
      <c r="C64" s="189"/>
      <c r="D64" s="187"/>
      <c r="E64" s="116" t="s">
        <v>450</v>
      </c>
      <c r="F64" s="117">
        <f>10%+C63*0.1</f>
        <v>0.1</v>
      </c>
      <c r="G64" s="118" t="s">
        <v>453</v>
      </c>
      <c r="H64" s="17"/>
    </row>
    <row r="65" spans="1:8">
      <c r="A65" s="2"/>
      <c r="B65" s="195"/>
      <c r="C65" s="189"/>
      <c r="D65" s="193"/>
      <c r="E65" s="116" t="s">
        <v>451</v>
      </c>
      <c r="F65" s="117">
        <f>5%+C63*0.1</f>
        <v>0.05</v>
      </c>
      <c r="G65" s="118" t="s">
        <v>452</v>
      </c>
      <c r="H65" s="17"/>
    </row>
    <row r="66" spans="1:8" ht="15" customHeight="1">
      <c r="A66" s="2"/>
      <c r="B66" s="191"/>
      <c r="C66" s="192">
        <f>IF(B66/6&gt;6,6,IF(C8&gt;3,IF(C6&gt;1,ROUNDDOWN(B66/6,0),0),0))</f>
        <v>0</v>
      </c>
      <c r="D66" s="188" t="s">
        <v>456</v>
      </c>
      <c r="E66" s="119" t="s">
        <v>454</v>
      </c>
      <c r="F66" s="120">
        <f>5%+0.1*C66</f>
        <v>0.05</v>
      </c>
      <c r="G66" s="125" t="s">
        <v>460</v>
      </c>
      <c r="H66" s="17"/>
    </row>
    <row r="67" spans="1:8">
      <c r="A67" s="2"/>
      <c r="B67" s="195"/>
      <c r="C67" s="194"/>
      <c r="D67" s="193"/>
      <c r="E67" s="122" t="s">
        <v>455</v>
      </c>
      <c r="F67" s="123">
        <v>-0.3</v>
      </c>
      <c r="G67" s="130"/>
      <c r="H67" s="17"/>
    </row>
    <row r="68" spans="1:8">
      <c r="A68" s="2"/>
      <c r="B68" s="191"/>
      <c r="C68" s="189">
        <f>IF(B68/6&gt;6,6,IF(C5&gt;5,ROUNDDOWN(B68/6,0),0))</f>
        <v>0</v>
      </c>
      <c r="D68" s="188" t="s">
        <v>458</v>
      </c>
      <c r="E68" s="116" t="s">
        <v>454</v>
      </c>
      <c r="F68" s="117">
        <f>5%+0.1*C68</f>
        <v>0.05</v>
      </c>
      <c r="G68" s="118" t="s">
        <v>457</v>
      </c>
      <c r="H68" s="17"/>
    </row>
    <row r="69" spans="1:8" ht="16" thickBot="1">
      <c r="A69" s="2"/>
      <c r="B69" s="231"/>
      <c r="C69" s="203"/>
      <c r="D69" s="232"/>
      <c r="E69" s="131" t="s">
        <v>455</v>
      </c>
      <c r="F69" s="132">
        <v>-0.3</v>
      </c>
      <c r="G69" s="133"/>
      <c r="H69" s="17"/>
    </row>
    <row r="70" spans="1:8" ht="16" thickTop="1">
      <c r="A70" s="2"/>
      <c r="B70" s="15">
        <f>SUM(B5:B41)</f>
        <v>0</v>
      </c>
      <c r="C70" s="15"/>
      <c r="D70" s="15"/>
      <c r="E70" s="15"/>
      <c r="F70" s="15"/>
      <c r="G70" s="15"/>
      <c r="H70" s="15"/>
    </row>
  </sheetData>
  <mergeCells count="46">
    <mergeCell ref="D59:D62"/>
    <mergeCell ref="D56:D58"/>
    <mergeCell ref="B56:B58"/>
    <mergeCell ref="B59:B62"/>
    <mergeCell ref="B63:B65"/>
    <mergeCell ref="B68:B69"/>
    <mergeCell ref="B66:B67"/>
    <mergeCell ref="D63:D65"/>
    <mergeCell ref="D66:D67"/>
    <mergeCell ref="D68:D69"/>
    <mergeCell ref="C68:C69"/>
    <mergeCell ref="C56:C58"/>
    <mergeCell ref="C59:C62"/>
    <mergeCell ref="C63:C65"/>
    <mergeCell ref="C66:C67"/>
    <mergeCell ref="B2:G2"/>
    <mergeCell ref="E3:G3"/>
    <mergeCell ref="B9:B10"/>
    <mergeCell ref="B12:B20"/>
    <mergeCell ref="C12:C20"/>
    <mergeCell ref="B3:D3"/>
    <mergeCell ref="D9:D10"/>
    <mergeCell ref="D12:D20"/>
    <mergeCell ref="C9:C10"/>
    <mergeCell ref="D35:D42"/>
    <mergeCell ref="C35:C42"/>
    <mergeCell ref="B35:B42"/>
    <mergeCell ref="D30:D34"/>
    <mergeCell ref="D21:D29"/>
    <mergeCell ref="B21:B29"/>
    <mergeCell ref="C21:C29"/>
    <mergeCell ref="B30:B34"/>
    <mergeCell ref="C30:C34"/>
    <mergeCell ref="D43:D50"/>
    <mergeCell ref="D51:D55"/>
    <mergeCell ref="C43:C50"/>
    <mergeCell ref="B43:B50"/>
    <mergeCell ref="B51:B55"/>
    <mergeCell ref="C51:C55"/>
    <mergeCell ref="H43:H50"/>
    <mergeCell ref="H51:H55"/>
    <mergeCell ref="H9:H10"/>
    <mergeCell ref="H12:H20"/>
    <mergeCell ref="H21:H29"/>
    <mergeCell ref="H30:H34"/>
    <mergeCell ref="H35:H42"/>
  </mergeCells>
  <pageMargins left="0.75" right="0.75" top="1" bottom="1" header="0.5" footer="0.5"/>
  <pageSetup orientation="portrait" horizontalDpi="4294967292" verticalDpi="4294967292"/>
  <ignoredErrors>
    <ignoredError sqref="H5:H6 H21:H42 H11 C10 C36:C42 C52:C55 H52:H55 H44:H50 C13:C20 C22:C29 C31:C34 C44:C50" emptyCellReference="1"/>
  </ignoredErrors>
  <extLst>
    <ext xmlns:x14="http://schemas.microsoft.com/office/spreadsheetml/2009/9/main" uri="{CCE6A557-97BC-4b89-ADB6-D9C93CAAB3DF}">
      <x14:dataValidations xmlns:xm="http://schemas.microsoft.com/office/excel/2006/main" count="1">
        <x14:dataValidation type="list" allowBlank="1" showInputMessage="1" showErrorMessage="1">
          <x14:formula1>
            <xm:f>'Basic Data'!$A$8:$A$10</xm:f>
          </x14:formula1>
          <xm:sqref>E3:G3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workbookViewId="0">
      <selection activeCell="B1" sqref="B1"/>
    </sheetView>
  </sheetViews>
  <sheetFormatPr baseColWidth="10" defaultRowHeight="15" x14ac:dyDescent="0"/>
  <cols>
    <col min="1" max="1" width="3.33203125" customWidth="1"/>
    <col min="10" max="10" width="2.83203125" customWidth="1"/>
  </cols>
  <sheetData>
    <row r="1" spans="1:11" ht="16" thickBot="1">
      <c r="A1" s="245" t="s">
        <v>489</v>
      </c>
      <c r="B1" s="2"/>
      <c r="C1" s="2"/>
      <c r="D1" s="2"/>
      <c r="E1" s="2"/>
      <c r="F1" s="2"/>
      <c r="G1" s="2"/>
      <c r="H1" s="2"/>
      <c r="I1" s="2"/>
      <c r="J1" s="2"/>
    </row>
    <row r="2" spans="1:11">
      <c r="A2" s="2"/>
      <c r="B2" s="151" t="s">
        <v>321</v>
      </c>
      <c r="C2" s="157"/>
      <c r="D2" s="157"/>
      <c r="E2" s="157"/>
      <c r="F2" s="157"/>
      <c r="G2" s="157"/>
      <c r="H2" s="157"/>
      <c r="I2" s="152"/>
      <c r="J2" s="97"/>
      <c r="K2" s="96"/>
    </row>
    <row r="3" spans="1:11">
      <c r="A3" s="2"/>
      <c r="B3" s="98" t="s">
        <v>322</v>
      </c>
      <c r="C3" s="99" t="str">
        <f>IF(D3+E3&gt;0,"Yes","No")</f>
        <v>No</v>
      </c>
      <c r="D3" s="100">
        <f>COUNTIF('CRS Pg 2 Equipment'!$B$15:D32,B3)</f>
        <v>0</v>
      </c>
      <c r="E3" s="100">
        <f>COUNTIF('CRS Pg 2 Equipment'!$G$15:I32,B3)</f>
        <v>0</v>
      </c>
      <c r="F3" s="99" t="s">
        <v>433</v>
      </c>
      <c r="G3" s="100"/>
      <c r="H3" s="100"/>
      <c r="I3" s="101"/>
      <c r="J3" s="2"/>
    </row>
    <row r="4" spans="1:11">
      <c r="A4" s="2"/>
      <c r="B4" s="98" t="s">
        <v>371</v>
      </c>
      <c r="C4" s="99" t="str">
        <f>IF(D4+E4&gt;0,"Yes","No")</f>
        <v>No</v>
      </c>
      <c r="D4" s="100">
        <f>COUNTIF('CRS Pg 2 Equipment'!$B$15:D33,B4)</f>
        <v>0</v>
      </c>
      <c r="E4" s="100">
        <f>COUNTIF('CRS Pg 2 Equipment'!$G$15:I33,B4)</f>
        <v>0</v>
      </c>
      <c r="F4" s="99" t="s">
        <v>434</v>
      </c>
      <c r="G4" s="100"/>
      <c r="H4" s="100"/>
      <c r="I4" s="101"/>
      <c r="J4" s="2"/>
    </row>
    <row r="5" spans="1:11">
      <c r="A5" s="2"/>
      <c r="B5" s="98" t="s">
        <v>372</v>
      </c>
      <c r="C5" s="99" t="str">
        <f>IF(D5+E5&gt;0,"Yes","No")</f>
        <v>No</v>
      </c>
      <c r="D5" s="100">
        <f>COUNTIF('CRS Pg 2 Equipment'!B15:D32,B5)</f>
        <v>0</v>
      </c>
      <c r="E5" s="100">
        <f>COUNTIF('CRS Pg 2 Equipment'!G15:I32,B5)</f>
        <v>0</v>
      </c>
      <c r="F5" s="100"/>
      <c r="G5" s="100"/>
      <c r="H5" s="100"/>
      <c r="I5" s="101"/>
      <c r="J5" s="2"/>
    </row>
    <row r="6" spans="1:11" ht="16" thickBot="1">
      <c r="A6" s="2"/>
      <c r="B6" s="102" t="s">
        <v>370</v>
      </c>
      <c r="C6" s="103" t="str">
        <f>IF(D6+E6&gt;0,"Yes","No")</f>
        <v>No</v>
      </c>
      <c r="D6" s="104">
        <f>COUNTIF('CRS Pg 2 Equipment'!B15:D32,B6)</f>
        <v>0</v>
      </c>
      <c r="E6" s="104">
        <f>COUNTIF('CRS Pg 2 Equipment'!G15:I32,B6)</f>
        <v>0</v>
      </c>
      <c r="F6" s="104"/>
      <c r="G6" s="104"/>
      <c r="H6" s="104"/>
      <c r="I6" s="105"/>
      <c r="J6" s="2"/>
    </row>
    <row r="7" spans="1:11" ht="16" thickBot="1">
      <c r="A7" s="2"/>
      <c r="B7" s="36"/>
      <c r="C7" s="36"/>
      <c r="D7" s="36"/>
      <c r="E7" s="36"/>
      <c r="F7" s="36"/>
      <c r="G7" s="36"/>
      <c r="H7" s="36"/>
      <c r="I7" s="36"/>
      <c r="J7" s="2"/>
    </row>
    <row r="8" spans="1:11">
      <c r="A8" s="2"/>
      <c r="B8" s="151" t="s">
        <v>395</v>
      </c>
      <c r="C8" s="157"/>
      <c r="D8" s="157"/>
      <c r="E8" s="157"/>
      <c r="F8" s="210" t="s">
        <v>410</v>
      </c>
      <c r="G8" s="157"/>
      <c r="H8" s="157"/>
      <c r="I8" s="152"/>
      <c r="J8" s="2"/>
    </row>
    <row r="9" spans="1:11" ht="21" customHeight="1">
      <c r="A9" s="2"/>
      <c r="B9" s="204" t="str">
        <f>IF($C$3="Yes",'Equipment Data'!A100,"None")</f>
        <v>None</v>
      </c>
      <c r="C9" s="205"/>
      <c r="D9" s="205"/>
      <c r="E9" s="206"/>
      <c r="F9" s="211" t="str">
        <f>IF($C4="Yes",'Equipment Data'!A114,"None")</f>
        <v>None</v>
      </c>
      <c r="G9" s="205"/>
      <c r="H9" s="205"/>
      <c r="I9" s="212"/>
      <c r="J9" s="2"/>
    </row>
    <row r="10" spans="1:11">
      <c r="A10" s="2"/>
      <c r="B10" s="204" t="str">
        <f>IF($C$3="Yes",'Equipment Data'!A101," ")</f>
        <v xml:space="preserve"> </v>
      </c>
      <c r="C10" s="205"/>
      <c r="D10" s="205"/>
      <c r="E10" s="205"/>
      <c r="F10" s="211" t="str">
        <f>IF($C$4="Yes",'Equipment Data'!A115," ")</f>
        <v xml:space="preserve"> </v>
      </c>
      <c r="G10" s="205"/>
      <c r="H10" s="205"/>
      <c r="I10" s="212"/>
      <c r="J10" s="2"/>
    </row>
    <row r="11" spans="1:11">
      <c r="A11" s="2"/>
      <c r="B11" s="204" t="str">
        <f>IF($C$3="Yes",'Equipment Data'!A102," ")</f>
        <v xml:space="preserve"> </v>
      </c>
      <c r="C11" s="205"/>
      <c r="D11" s="205"/>
      <c r="E11" s="205"/>
      <c r="F11" s="211" t="str">
        <f>IF($C$4="Yes",'Equipment Data'!A116," ")</f>
        <v xml:space="preserve"> </v>
      </c>
      <c r="G11" s="205"/>
      <c r="H11" s="205"/>
      <c r="I11" s="212"/>
      <c r="J11" s="2"/>
    </row>
    <row r="12" spans="1:11">
      <c r="A12" s="2"/>
      <c r="B12" s="204" t="str">
        <f>IF($C$3="Yes",'Equipment Data'!A103," ")</f>
        <v xml:space="preserve"> </v>
      </c>
      <c r="C12" s="205"/>
      <c r="D12" s="205"/>
      <c r="E12" s="205"/>
      <c r="F12" s="211" t="str">
        <f>IF($C$4="Yes",'Equipment Data'!A117," ")</f>
        <v xml:space="preserve"> </v>
      </c>
      <c r="G12" s="205"/>
      <c r="H12" s="205"/>
      <c r="I12" s="212"/>
      <c r="J12" s="2"/>
    </row>
    <row r="13" spans="1:11">
      <c r="A13" s="2"/>
      <c r="B13" s="204" t="str">
        <f>IF($C$3="Yes",'Equipment Data'!A104," ")</f>
        <v xml:space="preserve"> </v>
      </c>
      <c r="C13" s="205"/>
      <c r="D13" s="205"/>
      <c r="E13" s="205"/>
      <c r="F13" s="211" t="str">
        <f>IF($C$4="Yes",'Equipment Data'!A118," ")</f>
        <v xml:space="preserve"> </v>
      </c>
      <c r="G13" s="205"/>
      <c r="H13" s="205"/>
      <c r="I13" s="212"/>
      <c r="J13" s="2"/>
    </row>
    <row r="14" spans="1:11" ht="24" customHeight="1">
      <c r="A14" s="2"/>
      <c r="B14" s="204" t="str">
        <f>IF($C$3="Yes",'Equipment Data'!A105," ")</f>
        <v xml:space="preserve"> </v>
      </c>
      <c r="C14" s="205"/>
      <c r="D14" s="205"/>
      <c r="E14" s="205"/>
      <c r="F14" s="211" t="str">
        <f>IF($C$4="Yes",'Equipment Data'!A119," ")</f>
        <v xml:space="preserve"> </v>
      </c>
      <c r="G14" s="205"/>
      <c r="H14" s="205"/>
      <c r="I14" s="212"/>
      <c r="J14" s="2"/>
    </row>
    <row r="15" spans="1:11" ht="25" customHeight="1">
      <c r="A15" s="2"/>
      <c r="B15" s="204" t="str">
        <f>IF($C$3="Yes",'Equipment Data'!A106," ")</f>
        <v xml:space="preserve"> </v>
      </c>
      <c r="C15" s="205"/>
      <c r="D15" s="205"/>
      <c r="E15" s="205"/>
      <c r="F15" s="211" t="str">
        <f>IF($C$4="Yes",'Equipment Data'!A120," ")</f>
        <v xml:space="preserve"> </v>
      </c>
      <c r="G15" s="205"/>
      <c r="H15" s="205"/>
      <c r="I15" s="212"/>
      <c r="J15" s="2"/>
    </row>
    <row r="16" spans="1:11">
      <c r="A16" s="2"/>
      <c r="B16" s="204" t="str">
        <f>IF($C$3="Yes",'Equipment Data'!A107," ")</f>
        <v xml:space="preserve"> </v>
      </c>
      <c r="C16" s="205"/>
      <c r="D16" s="205"/>
      <c r="E16" s="205"/>
      <c r="F16" s="211" t="str">
        <f>IF($C$4="Yes",'Equipment Data'!A121," ")</f>
        <v xml:space="preserve"> </v>
      </c>
      <c r="G16" s="205"/>
      <c r="H16" s="205"/>
      <c r="I16" s="212"/>
      <c r="J16" s="2"/>
    </row>
    <row r="17" spans="1:10">
      <c r="A17" s="2"/>
      <c r="B17" s="204" t="str">
        <f>IF($C$3="Yes",'Equipment Data'!A108," ")</f>
        <v xml:space="preserve"> </v>
      </c>
      <c r="C17" s="205"/>
      <c r="D17" s="205"/>
      <c r="E17" s="205"/>
      <c r="F17" s="211" t="str">
        <f>IF($C$4="Yes",'Equipment Data'!A122," ")</f>
        <v xml:space="preserve"> </v>
      </c>
      <c r="G17" s="205"/>
      <c r="H17" s="205"/>
      <c r="I17" s="212"/>
      <c r="J17" s="2"/>
    </row>
    <row r="18" spans="1:10">
      <c r="A18" s="2"/>
      <c r="B18" s="204" t="str">
        <f>IF($C$3="Yes",'Equipment Data'!A109," ")</f>
        <v xml:space="preserve"> </v>
      </c>
      <c r="C18" s="205"/>
      <c r="D18" s="205"/>
      <c r="E18" s="205"/>
      <c r="F18" s="211" t="str">
        <f>IF($C$4="Yes",'Equipment Data'!A123," ")</f>
        <v xml:space="preserve"> </v>
      </c>
      <c r="G18" s="205"/>
      <c r="H18" s="205"/>
      <c r="I18" s="212"/>
      <c r="J18" s="2"/>
    </row>
    <row r="19" spans="1:10" ht="22" customHeight="1">
      <c r="A19" s="2"/>
      <c r="B19" s="204" t="str">
        <f>IF($C$3="Yes",'Equipment Data'!A110," ")</f>
        <v xml:space="preserve"> </v>
      </c>
      <c r="C19" s="205"/>
      <c r="D19" s="205"/>
      <c r="E19" s="205"/>
      <c r="F19" s="211" t="str">
        <f>IF($C$4="Yes",'Equipment Data'!A124," ")</f>
        <v xml:space="preserve"> </v>
      </c>
      <c r="G19" s="205"/>
      <c r="H19" s="205"/>
      <c r="I19" s="212"/>
      <c r="J19" s="2"/>
    </row>
    <row r="20" spans="1:10">
      <c r="A20" s="2"/>
      <c r="B20" s="204" t="str">
        <f>IF($C$3="Yes",'Equipment Data'!A111," ")</f>
        <v xml:space="preserve"> </v>
      </c>
      <c r="C20" s="205"/>
      <c r="D20" s="205"/>
      <c r="E20" s="205"/>
      <c r="F20" s="211" t="str">
        <f>IF($C$4="Yes",'Equipment Data'!A125," ")</f>
        <v xml:space="preserve"> </v>
      </c>
      <c r="G20" s="205"/>
      <c r="H20" s="205"/>
      <c r="I20" s="212"/>
      <c r="J20" s="2"/>
    </row>
    <row r="21" spans="1:10" ht="25" customHeight="1">
      <c r="A21" s="2"/>
      <c r="B21" s="207" t="str">
        <f>IF($C$3="Yes",'Equipment Data'!A112," ")</f>
        <v xml:space="preserve"> </v>
      </c>
      <c r="C21" s="208"/>
      <c r="D21" s="208"/>
      <c r="E21" s="209"/>
      <c r="F21" s="211" t="str">
        <f>IF($C$4="Yes",'Equipment Data'!A126," ")</f>
        <v xml:space="preserve"> </v>
      </c>
      <c r="G21" s="205"/>
      <c r="H21" s="205"/>
      <c r="I21" s="212"/>
      <c r="J21" s="2"/>
    </row>
    <row r="22" spans="1:10" ht="16" customHeight="1">
      <c r="A22" s="2"/>
      <c r="B22" s="216" t="s">
        <v>380</v>
      </c>
      <c r="C22" s="217"/>
      <c r="D22" s="217"/>
      <c r="E22" s="218"/>
      <c r="F22" s="211" t="str">
        <f>IF($C$4="Yes",'Equipment Data'!A127," ")</f>
        <v xml:space="preserve"> </v>
      </c>
      <c r="G22" s="205"/>
      <c r="H22" s="205"/>
      <c r="I22" s="212"/>
      <c r="J22" s="2"/>
    </row>
    <row r="23" spans="1:10" ht="24" customHeight="1">
      <c r="A23" s="2"/>
      <c r="B23" s="204" t="str">
        <f>IF($C$6="Yes",'Equipment Data'!A84,"None")</f>
        <v>None</v>
      </c>
      <c r="C23" s="205"/>
      <c r="D23" s="205"/>
      <c r="E23" s="205"/>
      <c r="F23" s="211" t="str">
        <f>IF($C$4="Yes",'Equipment Data'!A128," ")</f>
        <v xml:space="preserve"> </v>
      </c>
      <c r="G23" s="205"/>
      <c r="H23" s="205"/>
      <c r="I23" s="212"/>
      <c r="J23" s="2"/>
    </row>
    <row r="24" spans="1:10" ht="15" customHeight="1">
      <c r="A24" s="2"/>
      <c r="B24" s="204" t="str">
        <f>IF($C$6="Yes",'Equipment Data'!A85," ")</f>
        <v xml:space="preserve"> </v>
      </c>
      <c r="C24" s="205"/>
      <c r="D24" s="205"/>
      <c r="E24" s="206"/>
      <c r="F24" s="211" t="str">
        <f>IF($C$4="Yes",'Equipment Data'!A129," ")</f>
        <v xml:space="preserve"> </v>
      </c>
      <c r="G24" s="205"/>
      <c r="H24" s="205"/>
      <c r="I24" s="212"/>
      <c r="J24" s="2"/>
    </row>
    <row r="25" spans="1:10" ht="21" customHeight="1">
      <c r="A25" s="2"/>
      <c r="B25" s="204" t="str">
        <f>IF($C$6="Yes",'Equipment Data'!A86," ")</f>
        <v xml:space="preserve"> </v>
      </c>
      <c r="C25" s="205"/>
      <c r="D25" s="205"/>
      <c r="E25" s="206"/>
      <c r="F25" s="211" t="str">
        <f>IF($C$4="Yes",'Equipment Data'!A130," ")</f>
        <v xml:space="preserve"> </v>
      </c>
      <c r="G25" s="205"/>
      <c r="H25" s="205"/>
      <c r="I25" s="212"/>
      <c r="J25" s="2"/>
    </row>
    <row r="26" spans="1:10" ht="13" customHeight="1">
      <c r="A26" s="2"/>
      <c r="B26" s="204" t="str">
        <f>IF($C$6="Yes",'Equipment Data'!A87," ")</f>
        <v xml:space="preserve"> </v>
      </c>
      <c r="C26" s="205"/>
      <c r="D26" s="205"/>
      <c r="E26" s="206"/>
      <c r="F26" s="213" t="str">
        <f>IF($C$4="Yes",'Equipment Data'!A131," ")</f>
        <v xml:space="preserve"> </v>
      </c>
      <c r="G26" s="214"/>
      <c r="H26" s="214"/>
      <c r="I26" s="215"/>
      <c r="J26" s="2"/>
    </row>
    <row r="27" spans="1:10" ht="16" customHeight="1">
      <c r="A27" s="2"/>
      <c r="B27" s="204" t="str">
        <f>IF($C$6="Yes",'Equipment Data'!A88," ")</f>
        <v xml:space="preserve"> </v>
      </c>
      <c r="C27" s="205"/>
      <c r="D27" s="205"/>
      <c r="E27" s="206"/>
      <c r="F27" s="228" t="s">
        <v>429</v>
      </c>
      <c r="G27" s="229"/>
      <c r="H27" s="229"/>
      <c r="I27" s="230"/>
      <c r="J27" s="2"/>
    </row>
    <row r="28" spans="1:10" ht="17" customHeight="1">
      <c r="A28" s="2"/>
      <c r="B28" s="204" t="str">
        <f>IF($C$6="Yes",'Equipment Data'!A89," ")</f>
        <v xml:space="preserve"> </v>
      </c>
      <c r="C28" s="205"/>
      <c r="D28" s="205"/>
      <c r="E28" s="206"/>
      <c r="F28" s="222" t="str">
        <f>IF($C$5="Yes",'Equipment Data'!A133,"None")</f>
        <v>None</v>
      </c>
      <c r="G28" s="223"/>
      <c r="H28" s="223"/>
      <c r="I28" s="224"/>
      <c r="J28" s="2"/>
    </row>
    <row r="29" spans="1:10" ht="16" customHeight="1">
      <c r="A29" s="2"/>
      <c r="B29" s="204" t="str">
        <f>IF($C$6="Yes",'Equipment Data'!A90," ")</f>
        <v xml:space="preserve"> </v>
      </c>
      <c r="C29" s="205"/>
      <c r="D29" s="205"/>
      <c r="E29" s="206"/>
      <c r="F29" s="222"/>
      <c r="G29" s="223"/>
      <c r="H29" s="223"/>
      <c r="I29" s="224"/>
      <c r="J29" s="2"/>
    </row>
    <row r="30" spans="1:10" ht="16" customHeight="1">
      <c r="A30" s="2"/>
      <c r="B30" s="204" t="str">
        <f>IF($C$6="Yes",'Equipment Data'!A91," ")</f>
        <v xml:space="preserve"> </v>
      </c>
      <c r="C30" s="205"/>
      <c r="D30" s="205"/>
      <c r="E30" s="206"/>
      <c r="F30" s="222"/>
      <c r="G30" s="223"/>
      <c r="H30" s="223"/>
      <c r="I30" s="224"/>
      <c r="J30" s="2"/>
    </row>
    <row r="31" spans="1:10">
      <c r="A31" s="2"/>
      <c r="B31" s="204" t="str">
        <f>IF($C$6="Yes",'Equipment Data'!A92," ")</f>
        <v xml:space="preserve"> </v>
      </c>
      <c r="C31" s="205"/>
      <c r="D31" s="205"/>
      <c r="E31" s="206"/>
      <c r="F31" s="222" t="str">
        <f>IF($C$5="Yes",'Equipment Data'!A134," ")</f>
        <v xml:space="preserve"> </v>
      </c>
      <c r="G31" s="223"/>
      <c r="H31" s="223"/>
      <c r="I31" s="224"/>
      <c r="J31" s="2"/>
    </row>
    <row r="32" spans="1:10">
      <c r="A32" s="2"/>
      <c r="B32" s="204" t="str">
        <f>IF($C$6="Yes",'Equipment Data'!A93," ")</f>
        <v xml:space="preserve"> </v>
      </c>
      <c r="C32" s="205"/>
      <c r="D32" s="205"/>
      <c r="E32" s="206"/>
      <c r="F32" s="222"/>
      <c r="G32" s="223"/>
      <c r="H32" s="223"/>
      <c r="I32" s="224"/>
      <c r="J32" s="2"/>
    </row>
    <row r="33" spans="1:10">
      <c r="A33" s="2"/>
      <c r="B33" s="204" t="str">
        <f>IF($C$6="Yes",'Equipment Data'!A94," ")</f>
        <v xml:space="preserve"> </v>
      </c>
      <c r="C33" s="205"/>
      <c r="D33" s="205"/>
      <c r="E33" s="206"/>
      <c r="F33" s="222"/>
      <c r="G33" s="223"/>
      <c r="H33" s="223"/>
      <c r="I33" s="224"/>
      <c r="J33" s="2"/>
    </row>
    <row r="34" spans="1:10">
      <c r="A34" s="2"/>
      <c r="B34" s="204" t="str">
        <f>IF($C$6="Yes",'Equipment Data'!A95," ")</f>
        <v xml:space="preserve"> </v>
      </c>
      <c r="C34" s="205"/>
      <c r="D34" s="205"/>
      <c r="E34" s="206"/>
      <c r="F34" s="222" t="str">
        <f>IF($C$5="Yes",'Equipment Data'!A135," ")</f>
        <v xml:space="preserve"> </v>
      </c>
      <c r="G34" s="223"/>
      <c r="H34" s="223"/>
      <c r="I34" s="224"/>
      <c r="J34" s="2"/>
    </row>
    <row r="35" spans="1:10">
      <c r="A35" s="2"/>
      <c r="B35" s="204" t="str">
        <f>IF($C$6="Yes",'Equipment Data'!A96," ")</f>
        <v xml:space="preserve"> </v>
      </c>
      <c r="C35" s="205"/>
      <c r="D35" s="205"/>
      <c r="E35" s="206"/>
      <c r="F35" s="222"/>
      <c r="G35" s="223"/>
      <c r="H35" s="223"/>
      <c r="I35" s="224"/>
      <c r="J35" s="2"/>
    </row>
    <row r="36" spans="1:10">
      <c r="A36" s="2"/>
      <c r="B36" s="204" t="str">
        <f>IF($C$6="Yes",'Equipment Data'!A97," ")</f>
        <v xml:space="preserve"> </v>
      </c>
      <c r="C36" s="205"/>
      <c r="D36" s="205"/>
      <c r="E36" s="206"/>
      <c r="F36" s="222"/>
      <c r="G36" s="223"/>
      <c r="H36" s="223"/>
      <c r="I36" s="224"/>
      <c r="J36" s="2"/>
    </row>
    <row r="37" spans="1:10" ht="24" customHeight="1" thickBot="1">
      <c r="A37" s="2"/>
      <c r="B37" s="219" t="str">
        <f>IF($C$6="Yes",'Equipment Data'!A98," ")</f>
        <v xml:space="preserve"> </v>
      </c>
      <c r="C37" s="220"/>
      <c r="D37" s="220"/>
      <c r="E37" s="241"/>
      <c r="F37" s="225"/>
      <c r="G37" s="226"/>
      <c r="H37" s="226"/>
      <c r="I37" s="227"/>
      <c r="J37" s="2"/>
    </row>
    <row r="38" spans="1:10">
      <c r="A38" s="2"/>
      <c r="B38" s="221"/>
      <c r="C38" s="221"/>
      <c r="D38" s="221"/>
      <c r="E38" s="221"/>
      <c r="F38" s="2"/>
      <c r="G38" s="2"/>
      <c r="H38" s="2"/>
      <c r="I38" s="2"/>
      <c r="J38" s="2"/>
    </row>
  </sheetData>
  <mergeCells count="55">
    <mergeCell ref="B25:E25"/>
    <mergeCell ref="B26:E26"/>
    <mergeCell ref="B27:E27"/>
    <mergeCell ref="B28:E28"/>
    <mergeCell ref="B29:E29"/>
    <mergeCell ref="B37:E37"/>
    <mergeCell ref="B38:E38"/>
    <mergeCell ref="F34:I37"/>
    <mergeCell ref="F27:I27"/>
    <mergeCell ref="F28:I30"/>
    <mergeCell ref="F31:I33"/>
    <mergeCell ref="B30:E30"/>
    <mergeCell ref="B31:E31"/>
    <mergeCell ref="B32:E32"/>
    <mergeCell ref="B33:E33"/>
    <mergeCell ref="B34:E34"/>
    <mergeCell ref="B35:E35"/>
    <mergeCell ref="B36:E36"/>
    <mergeCell ref="B19:E19"/>
    <mergeCell ref="F24:I24"/>
    <mergeCell ref="F25:I25"/>
    <mergeCell ref="F26:I26"/>
    <mergeCell ref="F15:I15"/>
    <mergeCell ref="F16:I16"/>
    <mergeCell ref="F17:I17"/>
    <mergeCell ref="F18:I18"/>
    <mergeCell ref="F19:I19"/>
    <mergeCell ref="F20:I20"/>
    <mergeCell ref="B22:E22"/>
    <mergeCell ref="B23:E23"/>
    <mergeCell ref="F21:I21"/>
    <mergeCell ref="F22:I22"/>
    <mergeCell ref="F23:I23"/>
    <mergeCell ref="B24:E24"/>
    <mergeCell ref="B13:E13"/>
    <mergeCell ref="B20:E20"/>
    <mergeCell ref="B21:E21"/>
    <mergeCell ref="B8:E8"/>
    <mergeCell ref="F8:I8"/>
    <mergeCell ref="F9:I9"/>
    <mergeCell ref="F10:I10"/>
    <mergeCell ref="F11:I11"/>
    <mergeCell ref="F12:I12"/>
    <mergeCell ref="F13:I13"/>
    <mergeCell ref="F14:I14"/>
    <mergeCell ref="B14:E14"/>
    <mergeCell ref="B15:E15"/>
    <mergeCell ref="B16:E16"/>
    <mergeCell ref="B17:E17"/>
    <mergeCell ref="B18:E18"/>
    <mergeCell ref="B2:I2"/>
    <mergeCell ref="B9:E9"/>
    <mergeCell ref="B10:E10"/>
    <mergeCell ref="B11:E11"/>
    <mergeCell ref="B12:E12"/>
  </mergeCells>
  <pageMargins left="0.75" right="0.75" top="1" bottom="1" header="0.5" footer="0.5"/>
  <pageSetup orientation="portrait" horizontalDpi="4294967292" verticalDpi="4294967292"/>
  <ignoredErrors>
    <ignoredError sqref="D3:E6" emptyCellReference="1"/>
  </ignoredError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workbookViewId="0">
      <selection activeCell="F14" sqref="F14"/>
    </sheetView>
  </sheetViews>
  <sheetFormatPr baseColWidth="10" defaultRowHeight="15" x14ac:dyDescent="0"/>
  <cols>
    <col min="1" max="1" width="12.83203125" customWidth="1"/>
    <col min="7" max="7" width="15" customWidth="1"/>
    <col min="8" max="8" width="13.83203125" customWidth="1"/>
  </cols>
  <sheetData>
    <row r="1" spans="1:10">
      <c r="A1" t="s">
        <v>485</v>
      </c>
    </row>
    <row r="2" spans="1:10">
      <c r="A2" t="s">
        <v>32</v>
      </c>
      <c r="B2" t="s">
        <v>33</v>
      </c>
      <c r="C2" t="s">
        <v>36</v>
      </c>
      <c r="D2" t="s">
        <v>5</v>
      </c>
      <c r="E2" t="s">
        <v>6</v>
      </c>
      <c r="F2" t="s">
        <v>44</v>
      </c>
      <c r="G2" t="s">
        <v>229</v>
      </c>
      <c r="H2" t="s">
        <v>230</v>
      </c>
      <c r="I2" t="s">
        <v>223</v>
      </c>
      <c r="J2" t="s">
        <v>233</v>
      </c>
    </row>
    <row r="3" spans="1:10">
      <c r="A3" t="s">
        <v>30</v>
      </c>
      <c r="B3" t="s">
        <v>34</v>
      </c>
      <c r="C3" t="s">
        <v>37</v>
      </c>
      <c r="D3" t="s">
        <v>45</v>
      </c>
      <c r="E3" t="s">
        <v>46</v>
      </c>
      <c r="F3" t="s">
        <v>47</v>
      </c>
      <c r="G3" t="s">
        <v>224</v>
      </c>
      <c r="H3" t="s">
        <v>55</v>
      </c>
      <c r="I3" s="9">
        <v>0.05</v>
      </c>
      <c r="J3" t="s">
        <v>478</v>
      </c>
    </row>
    <row r="4" spans="1:10">
      <c r="A4" t="s">
        <v>31</v>
      </c>
      <c r="B4" t="s">
        <v>35</v>
      </c>
      <c r="C4" t="s">
        <v>38</v>
      </c>
      <c r="D4" t="s">
        <v>48</v>
      </c>
      <c r="E4" t="s">
        <v>49</v>
      </c>
      <c r="F4" t="s">
        <v>50</v>
      </c>
      <c r="G4" s="5" t="s">
        <v>477</v>
      </c>
      <c r="H4" t="s">
        <v>231</v>
      </c>
      <c r="I4" s="137">
        <v>0</v>
      </c>
    </row>
    <row r="5" spans="1:10">
      <c r="B5" t="s">
        <v>479</v>
      </c>
      <c r="C5" t="s">
        <v>39</v>
      </c>
      <c r="D5" t="s">
        <v>51</v>
      </c>
      <c r="E5" t="s">
        <v>52</v>
      </c>
      <c r="F5" t="s">
        <v>53</v>
      </c>
      <c r="G5" t="s">
        <v>228</v>
      </c>
      <c r="H5" t="s">
        <v>225</v>
      </c>
      <c r="I5" s="9">
        <v>0.15</v>
      </c>
    </row>
    <row r="6" spans="1:10">
      <c r="C6" t="s">
        <v>40</v>
      </c>
      <c r="D6" t="s">
        <v>48</v>
      </c>
      <c r="E6" t="s">
        <v>49</v>
      </c>
      <c r="F6" t="s">
        <v>54</v>
      </c>
      <c r="G6" t="s">
        <v>232</v>
      </c>
      <c r="H6" t="s">
        <v>226</v>
      </c>
      <c r="I6" s="9">
        <v>0.05</v>
      </c>
      <c r="J6" t="s">
        <v>227</v>
      </c>
    </row>
    <row r="7" spans="1:10">
      <c r="A7" t="s">
        <v>41</v>
      </c>
      <c r="C7" t="s">
        <v>260</v>
      </c>
    </row>
    <row r="8" spans="1:10">
      <c r="A8" t="s">
        <v>57</v>
      </c>
      <c r="C8" t="s">
        <v>262</v>
      </c>
    </row>
    <row r="9" spans="1:10">
      <c r="A9" t="s">
        <v>58</v>
      </c>
      <c r="C9" t="s">
        <v>263</v>
      </c>
    </row>
    <row r="10" spans="1:10">
      <c r="A10" t="s">
        <v>59</v>
      </c>
      <c r="B10" t="s">
        <v>261</v>
      </c>
    </row>
    <row r="11" spans="1:10">
      <c r="B11" t="s">
        <v>220</v>
      </c>
      <c r="C11" t="s">
        <v>221</v>
      </c>
    </row>
    <row r="12" spans="1:10">
      <c r="B12">
        <v>1</v>
      </c>
      <c r="C12">
        <v>30</v>
      </c>
    </row>
    <row r="13" spans="1:10">
      <c r="B13">
        <v>2</v>
      </c>
      <c r="C13">
        <v>30</v>
      </c>
    </row>
    <row r="14" spans="1:10">
      <c r="B14">
        <v>3</v>
      </c>
      <c r="C14">
        <v>30</v>
      </c>
    </row>
    <row r="15" spans="1:10">
      <c r="B15">
        <v>4</v>
      </c>
      <c r="C15">
        <v>30</v>
      </c>
    </row>
    <row r="16" spans="1:10">
      <c r="B16">
        <v>5</v>
      </c>
      <c r="C16">
        <v>30</v>
      </c>
    </row>
    <row r="17" spans="2:3">
      <c r="B17">
        <v>6</v>
      </c>
      <c r="C17">
        <v>30</v>
      </c>
    </row>
    <row r="18" spans="2:3">
      <c r="B18">
        <v>7</v>
      </c>
      <c r="C18">
        <v>30</v>
      </c>
    </row>
    <row r="19" spans="2:3">
      <c r="B19">
        <v>8</v>
      </c>
      <c r="C19">
        <v>30</v>
      </c>
    </row>
    <row r="20" spans="2:3">
      <c r="B20">
        <v>9</v>
      </c>
      <c r="C20">
        <v>30</v>
      </c>
    </row>
    <row r="21" spans="2:3">
      <c r="B21">
        <v>10</v>
      </c>
      <c r="C21">
        <v>30</v>
      </c>
    </row>
    <row r="22" spans="2:3">
      <c r="B22">
        <f>B21+1</f>
        <v>11</v>
      </c>
      <c r="C22">
        <v>35</v>
      </c>
    </row>
    <row r="23" spans="2:3">
      <c r="B23">
        <f t="shared" ref="B23:B86" si="0">B22+1</f>
        <v>12</v>
      </c>
      <c r="C23">
        <v>35</v>
      </c>
    </row>
    <row r="24" spans="2:3">
      <c r="B24">
        <f t="shared" si="0"/>
        <v>13</v>
      </c>
      <c r="C24">
        <v>35</v>
      </c>
    </row>
    <row r="25" spans="2:3">
      <c r="B25">
        <f t="shared" si="0"/>
        <v>14</v>
      </c>
      <c r="C25">
        <v>35</v>
      </c>
    </row>
    <row r="26" spans="2:3">
      <c r="B26">
        <f t="shared" si="0"/>
        <v>15</v>
      </c>
      <c r="C26">
        <v>35</v>
      </c>
    </row>
    <row r="27" spans="2:3">
      <c r="B27">
        <f t="shared" si="0"/>
        <v>16</v>
      </c>
      <c r="C27">
        <v>35</v>
      </c>
    </row>
    <row r="28" spans="2:3">
      <c r="B28">
        <f t="shared" si="0"/>
        <v>17</v>
      </c>
      <c r="C28">
        <v>35</v>
      </c>
    </row>
    <row r="29" spans="2:3">
      <c r="B29">
        <f t="shared" si="0"/>
        <v>18</v>
      </c>
      <c r="C29">
        <v>35</v>
      </c>
    </row>
    <row r="30" spans="2:3">
      <c r="B30">
        <f t="shared" si="0"/>
        <v>19</v>
      </c>
      <c r="C30">
        <v>35</v>
      </c>
    </row>
    <row r="31" spans="2:3">
      <c r="B31">
        <f t="shared" si="0"/>
        <v>20</v>
      </c>
      <c r="C31">
        <v>35</v>
      </c>
    </row>
    <row r="32" spans="2:3">
      <c r="B32">
        <f t="shared" si="0"/>
        <v>21</v>
      </c>
      <c r="C32">
        <v>40</v>
      </c>
    </row>
    <row r="33" spans="2:3">
      <c r="B33">
        <f t="shared" si="0"/>
        <v>22</v>
      </c>
      <c r="C33">
        <v>40</v>
      </c>
    </row>
    <row r="34" spans="2:3">
      <c r="B34">
        <f t="shared" si="0"/>
        <v>23</v>
      </c>
      <c r="C34">
        <v>40</v>
      </c>
    </row>
    <row r="35" spans="2:3">
      <c r="B35">
        <f t="shared" si="0"/>
        <v>24</v>
      </c>
      <c r="C35">
        <v>40</v>
      </c>
    </row>
    <row r="36" spans="2:3">
      <c r="B36">
        <f t="shared" si="0"/>
        <v>25</v>
      </c>
      <c r="C36">
        <v>40</v>
      </c>
    </row>
    <row r="37" spans="2:3">
      <c r="B37">
        <f t="shared" si="0"/>
        <v>26</v>
      </c>
      <c r="C37">
        <v>40</v>
      </c>
    </row>
    <row r="38" spans="2:3">
      <c r="B38">
        <f t="shared" si="0"/>
        <v>27</v>
      </c>
      <c r="C38">
        <v>40</v>
      </c>
    </row>
    <row r="39" spans="2:3">
      <c r="B39">
        <f t="shared" si="0"/>
        <v>28</v>
      </c>
      <c r="C39">
        <v>40</v>
      </c>
    </row>
    <row r="40" spans="2:3">
      <c r="B40">
        <f t="shared" si="0"/>
        <v>29</v>
      </c>
      <c r="C40">
        <v>40</v>
      </c>
    </row>
    <row r="41" spans="2:3">
      <c r="B41">
        <f t="shared" si="0"/>
        <v>30</v>
      </c>
      <c r="C41">
        <v>40</v>
      </c>
    </row>
    <row r="42" spans="2:3">
      <c r="B42">
        <f t="shared" si="0"/>
        <v>31</v>
      </c>
      <c r="C42">
        <v>40</v>
      </c>
    </row>
    <row r="43" spans="2:3">
      <c r="B43">
        <f t="shared" si="0"/>
        <v>32</v>
      </c>
      <c r="C43">
        <v>40</v>
      </c>
    </row>
    <row r="44" spans="2:3">
      <c r="B44">
        <f t="shared" si="0"/>
        <v>33</v>
      </c>
      <c r="C44">
        <v>40</v>
      </c>
    </row>
    <row r="45" spans="2:3">
      <c r="B45">
        <f t="shared" si="0"/>
        <v>34</v>
      </c>
      <c r="C45">
        <v>40</v>
      </c>
    </row>
    <row r="46" spans="2:3">
      <c r="B46">
        <f t="shared" si="0"/>
        <v>35</v>
      </c>
      <c r="C46">
        <v>40</v>
      </c>
    </row>
    <row r="47" spans="2:3">
      <c r="B47">
        <f t="shared" si="0"/>
        <v>36</v>
      </c>
      <c r="C47">
        <v>45</v>
      </c>
    </row>
    <row r="48" spans="2:3">
      <c r="B48">
        <f t="shared" si="0"/>
        <v>37</v>
      </c>
      <c r="C48">
        <v>45</v>
      </c>
    </row>
    <row r="49" spans="2:3">
      <c r="B49">
        <f t="shared" si="0"/>
        <v>38</v>
      </c>
      <c r="C49">
        <v>45</v>
      </c>
    </row>
    <row r="50" spans="2:3">
      <c r="B50">
        <f t="shared" si="0"/>
        <v>39</v>
      </c>
      <c r="C50">
        <v>45</v>
      </c>
    </row>
    <row r="51" spans="2:3">
      <c r="B51">
        <f t="shared" si="0"/>
        <v>40</v>
      </c>
      <c r="C51">
        <v>45</v>
      </c>
    </row>
    <row r="52" spans="2:3">
      <c r="B52">
        <f t="shared" si="0"/>
        <v>41</v>
      </c>
      <c r="C52">
        <v>45</v>
      </c>
    </row>
    <row r="53" spans="2:3">
      <c r="B53">
        <f t="shared" si="0"/>
        <v>42</v>
      </c>
      <c r="C53">
        <v>45</v>
      </c>
    </row>
    <row r="54" spans="2:3">
      <c r="B54">
        <f t="shared" si="0"/>
        <v>43</v>
      </c>
      <c r="C54">
        <v>45</v>
      </c>
    </row>
    <row r="55" spans="2:3">
      <c r="B55">
        <f t="shared" si="0"/>
        <v>44</v>
      </c>
      <c r="C55">
        <v>45</v>
      </c>
    </row>
    <row r="56" spans="2:3">
      <c r="B56">
        <f t="shared" si="0"/>
        <v>45</v>
      </c>
      <c r="C56">
        <v>45</v>
      </c>
    </row>
    <row r="57" spans="2:3">
      <c r="B57">
        <f t="shared" si="0"/>
        <v>46</v>
      </c>
      <c r="C57">
        <v>45</v>
      </c>
    </row>
    <row r="58" spans="2:3">
      <c r="B58">
        <f t="shared" si="0"/>
        <v>47</v>
      </c>
      <c r="C58">
        <v>45</v>
      </c>
    </row>
    <row r="59" spans="2:3">
      <c r="B59">
        <f t="shared" si="0"/>
        <v>48</v>
      </c>
      <c r="C59">
        <v>45</v>
      </c>
    </row>
    <row r="60" spans="2:3">
      <c r="B60">
        <f t="shared" si="0"/>
        <v>49</v>
      </c>
      <c r="C60">
        <v>45</v>
      </c>
    </row>
    <row r="61" spans="2:3">
      <c r="B61">
        <f t="shared" si="0"/>
        <v>50</v>
      </c>
      <c r="C61">
        <v>45</v>
      </c>
    </row>
    <row r="62" spans="2:3">
      <c r="B62">
        <f t="shared" si="0"/>
        <v>51</v>
      </c>
      <c r="C62">
        <v>45</v>
      </c>
    </row>
    <row r="63" spans="2:3">
      <c r="B63">
        <f t="shared" si="0"/>
        <v>52</v>
      </c>
      <c r="C63">
        <v>45</v>
      </c>
    </row>
    <row r="64" spans="2:3">
      <c r="B64">
        <f t="shared" si="0"/>
        <v>53</v>
      </c>
      <c r="C64">
        <v>45</v>
      </c>
    </row>
    <row r="65" spans="2:3">
      <c r="B65">
        <f t="shared" si="0"/>
        <v>54</v>
      </c>
      <c r="C65">
        <v>45</v>
      </c>
    </row>
    <row r="66" spans="2:3">
      <c r="B66">
        <f t="shared" si="0"/>
        <v>55</v>
      </c>
      <c r="C66">
        <v>45</v>
      </c>
    </row>
    <row r="67" spans="2:3">
      <c r="B67">
        <f t="shared" si="0"/>
        <v>56</v>
      </c>
      <c r="C67">
        <v>50</v>
      </c>
    </row>
    <row r="68" spans="2:3">
      <c r="B68">
        <f t="shared" si="0"/>
        <v>57</v>
      </c>
      <c r="C68">
        <v>50</v>
      </c>
    </row>
    <row r="69" spans="2:3">
      <c r="B69">
        <f t="shared" si="0"/>
        <v>58</v>
      </c>
      <c r="C69">
        <v>50</v>
      </c>
    </row>
    <row r="70" spans="2:3">
      <c r="B70">
        <f t="shared" si="0"/>
        <v>59</v>
      </c>
      <c r="C70">
        <v>50</v>
      </c>
    </row>
    <row r="71" spans="2:3">
      <c r="B71">
        <f t="shared" si="0"/>
        <v>60</v>
      </c>
      <c r="C71">
        <v>50</v>
      </c>
    </row>
    <row r="72" spans="2:3">
      <c r="B72">
        <f t="shared" si="0"/>
        <v>61</v>
      </c>
      <c r="C72">
        <v>50</v>
      </c>
    </row>
    <row r="73" spans="2:3">
      <c r="B73">
        <f t="shared" si="0"/>
        <v>62</v>
      </c>
      <c r="C73">
        <v>50</v>
      </c>
    </row>
    <row r="74" spans="2:3">
      <c r="B74">
        <f t="shared" si="0"/>
        <v>63</v>
      </c>
      <c r="C74">
        <v>50</v>
      </c>
    </row>
    <row r="75" spans="2:3">
      <c r="B75">
        <f t="shared" si="0"/>
        <v>64</v>
      </c>
      <c r="C75">
        <v>50</v>
      </c>
    </row>
    <row r="76" spans="2:3">
      <c r="B76">
        <f t="shared" si="0"/>
        <v>65</v>
      </c>
      <c r="C76">
        <v>50</v>
      </c>
    </row>
    <row r="77" spans="2:3">
      <c r="B77">
        <f t="shared" si="0"/>
        <v>66</v>
      </c>
      <c r="C77">
        <v>50</v>
      </c>
    </row>
    <row r="78" spans="2:3">
      <c r="B78">
        <f t="shared" si="0"/>
        <v>67</v>
      </c>
      <c r="C78">
        <v>50</v>
      </c>
    </row>
    <row r="79" spans="2:3">
      <c r="B79">
        <f t="shared" si="0"/>
        <v>68</v>
      </c>
      <c r="C79">
        <v>50</v>
      </c>
    </row>
    <row r="80" spans="2:3">
      <c r="B80">
        <f t="shared" si="0"/>
        <v>69</v>
      </c>
      <c r="C80">
        <v>50</v>
      </c>
    </row>
    <row r="81" spans="2:3">
      <c r="B81">
        <f t="shared" si="0"/>
        <v>70</v>
      </c>
      <c r="C81">
        <v>50</v>
      </c>
    </row>
    <row r="82" spans="2:3">
      <c r="B82">
        <f t="shared" si="0"/>
        <v>71</v>
      </c>
      <c r="C82">
        <v>55</v>
      </c>
    </row>
    <row r="83" spans="2:3">
      <c r="B83">
        <f t="shared" si="0"/>
        <v>72</v>
      </c>
      <c r="C83">
        <v>55</v>
      </c>
    </row>
    <row r="84" spans="2:3">
      <c r="B84">
        <f t="shared" si="0"/>
        <v>73</v>
      </c>
      <c r="C84">
        <v>55</v>
      </c>
    </row>
    <row r="85" spans="2:3">
      <c r="B85">
        <f t="shared" si="0"/>
        <v>74</v>
      </c>
      <c r="C85">
        <v>55</v>
      </c>
    </row>
    <row r="86" spans="2:3">
      <c r="B86">
        <f t="shared" si="0"/>
        <v>75</v>
      </c>
      <c r="C86">
        <v>55</v>
      </c>
    </row>
    <row r="87" spans="2:3">
      <c r="B87">
        <f t="shared" ref="B87:B109" si="1">B86+1</f>
        <v>76</v>
      </c>
      <c r="C87">
        <v>55</v>
      </c>
    </row>
    <row r="88" spans="2:3">
      <c r="B88">
        <f t="shared" si="1"/>
        <v>77</v>
      </c>
      <c r="C88">
        <v>55</v>
      </c>
    </row>
    <row r="89" spans="2:3">
      <c r="B89">
        <f t="shared" si="1"/>
        <v>78</v>
      </c>
      <c r="C89">
        <v>55</v>
      </c>
    </row>
    <row r="90" spans="2:3">
      <c r="B90">
        <f t="shared" si="1"/>
        <v>79</v>
      </c>
      <c r="C90">
        <v>55</v>
      </c>
    </row>
    <row r="91" spans="2:3">
      <c r="B91">
        <f t="shared" si="1"/>
        <v>80</v>
      </c>
      <c r="C91">
        <v>55</v>
      </c>
    </row>
    <row r="92" spans="2:3">
      <c r="B92">
        <f t="shared" si="1"/>
        <v>81</v>
      </c>
      <c r="C92">
        <v>60</v>
      </c>
    </row>
    <row r="93" spans="2:3">
      <c r="B93">
        <f t="shared" si="1"/>
        <v>82</v>
      </c>
      <c r="C93">
        <v>60</v>
      </c>
    </row>
    <row r="94" spans="2:3">
      <c r="B94">
        <f t="shared" si="1"/>
        <v>83</v>
      </c>
      <c r="C94">
        <v>60</v>
      </c>
    </row>
    <row r="95" spans="2:3">
      <c r="B95">
        <f t="shared" si="1"/>
        <v>84</v>
      </c>
      <c r="C95">
        <v>60</v>
      </c>
    </row>
    <row r="96" spans="2:3">
      <c r="B96">
        <f t="shared" si="1"/>
        <v>85</v>
      </c>
      <c r="C96">
        <v>60</v>
      </c>
    </row>
    <row r="97" spans="2:3">
      <c r="B97">
        <f t="shared" si="1"/>
        <v>86</v>
      </c>
      <c r="C97">
        <v>60</v>
      </c>
    </row>
    <row r="98" spans="2:3">
      <c r="B98">
        <f t="shared" si="1"/>
        <v>87</v>
      </c>
      <c r="C98">
        <v>60</v>
      </c>
    </row>
    <row r="99" spans="2:3">
      <c r="B99">
        <f t="shared" si="1"/>
        <v>88</v>
      </c>
      <c r="C99">
        <v>60</v>
      </c>
    </row>
    <row r="100" spans="2:3">
      <c r="B100">
        <f t="shared" si="1"/>
        <v>89</v>
      </c>
      <c r="C100">
        <v>60</v>
      </c>
    </row>
    <row r="101" spans="2:3">
      <c r="B101">
        <f t="shared" si="1"/>
        <v>90</v>
      </c>
      <c r="C101">
        <v>60</v>
      </c>
    </row>
    <row r="102" spans="2:3">
      <c r="B102">
        <f t="shared" si="1"/>
        <v>91</v>
      </c>
      <c r="C102">
        <v>65</v>
      </c>
    </row>
    <row r="103" spans="2:3">
      <c r="B103">
        <f t="shared" si="1"/>
        <v>92</v>
      </c>
      <c r="C103">
        <v>65</v>
      </c>
    </row>
    <row r="104" spans="2:3">
      <c r="B104">
        <f t="shared" si="1"/>
        <v>93</v>
      </c>
      <c r="C104">
        <v>65</v>
      </c>
    </row>
    <row r="105" spans="2:3">
      <c r="B105">
        <f t="shared" si="1"/>
        <v>94</v>
      </c>
      <c r="C105">
        <v>65</v>
      </c>
    </row>
    <row r="106" spans="2:3">
      <c r="B106">
        <f t="shared" si="1"/>
        <v>95</v>
      </c>
      <c r="C106">
        <v>65</v>
      </c>
    </row>
    <row r="107" spans="2:3">
      <c r="B107">
        <f t="shared" si="1"/>
        <v>96</v>
      </c>
      <c r="C107">
        <v>70</v>
      </c>
    </row>
    <row r="108" spans="2:3">
      <c r="B108">
        <f t="shared" si="1"/>
        <v>97</v>
      </c>
      <c r="C108">
        <v>70</v>
      </c>
    </row>
    <row r="109" spans="2:3">
      <c r="B109">
        <f t="shared" si="1"/>
        <v>98</v>
      </c>
      <c r="C109">
        <v>70</v>
      </c>
    </row>
    <row r="110" spans="2:3">
      <c r="B110">
        <f>B109+1</f>
        <v>99</v>
      </c>
      <c r="C110">
        <v>70</v>
      </c>
    </row>
    <row r="111" spans="2:3">
      <c r="B111">
        <f>B110+1</f>
        <v>100</v>
      </c>
      <c r="C111">
        <v>70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5"/>
  <sheetViews>
    <sheetView workbookViewId="0">
      <selection activeCell="G29" sqref="G29"/>
    </sheetView>
  </sheetViews>
  <sheetFormatPr baseColWidth="10" defaultRowHeight="15" x14ac:dyDescent="0"/>
  <cols>
    <col min="1" max="1" width="19.33203125" bestFit="1" customWidth="1"/>
    <col min="2" max="2" width="6.83203125" bestFit="1" customWidth="1"/>
    <col min="3" max="3" width="12.1640625" customWidth="1"/>
  </cols>
  <sheetData>
    <row r="1" spans="1:4">
      <c r="A1" t="s">
        <v>484</v>
      </c>
    </row>
    <row r="2" spans="1:4">
      <c r="A2" t="s">
        <v>239</v>
      </c>
      <c r="B2" t="s">
        <v>79</v>
      </c>
      <c r="C2" t="s">
        <v>240</v>
      </c>
    </row>
    <row r="3" spans="1:4">
      <c r="A3" t="s">
        <v>87</v>
      </c>
      <c r="B3">
        <v>2000</v>
      </c>
      <c r="C3" t="s">
        <v>243</v>
      </c>
      <c r="D3">
        <v>2</v>
      </c>
    </row>
    <row r="4" spans="1:4">
      <c r="A4" t="s">
        <v>242</v>
      </c>
      <c r="B4" s="10">
        <v>1000</v>
      </c>
      <c r="C4" t="s">
        <v>245</v>
      </c>
      <c r="D4">
        <v>2</v>
      </c>
    </row>
    <row r="5" spans="1:4">
      <c r="A5" t="s">
        <v>246</v>
      </c>
      <c r="B5" s="10">
        <v>1000</v>
      </c>
      <c r="C5" t="s">
        <v>244</v>
      </c>
      <c r="D5">
        <v>2</v>
      </c>
    </row>
    <row r="6" spans="1:4">
      <c r="A6" t="s">
        <v>63</v>
      </c>
      <c r="B6">
        <v>2000</v>
      </c>
      <c r="C6" t="s">
        <v>247</v>
      </c>
      <c r="D6">
        <v>3</v>
      </c>
    </row>
    <row r="7" spans="1:4">
      <c r="A7" t="s">
        <v>72</v>
      </c>
      <c r="B7">
        <v>2000</v>
      </c>
      <c r="C7" t="s">
        <v>248</v>
      </c>
      <c r="D7">
        <v>2</v>
      </c>
    </row>
    <row r="8" spans="1:4">
      <c r="A8" t="s">
        <v>249</v>
      </c>
      <c r="B8">
        <v>500</v>
      </c>
      <c r="C8" t="s">
        <v>250</v>
      </c>
      <c r="D8">
        <v>1</v>
      </c>
    </row>
    <row r="9" spans="1:4">
      <c r="A9" t="s">
        <v>251</v>
      </c>
      <c r="B9">
        <v>500</v>
      </c>
      <c r="C9" t="s">
        <v>252</v>
      </c>
      <c r="D9">
        <v>1</v>
      </c>
    </row>
    <row r="10" spans="1:4">
      <c r="A10" t="s">
        <v>253</v>
      </c>
      <c r="B10">
        <v>300</v>
      </c>
      <c r="C10" t="s">
        <v>252</v>
      </c>
      <c r="D10">
        <v>1</v>
      </c>
    </row>
    <row r="11" spans="1:4">
      <c r="A11" s="94" t="s">
        <v>320</v>
      </c>
      <c r="B11" s="94" t="s">
        <v>79</v>
      </c>
      <c r="C11" s="94" t="s">
        <v>43</v>
      </c>
    </row>
    <row r="12" spans="1:4">
      <c r="A12" s="90" t="s">
        <v>323</v>
      </c>
      <c r="B12" s="92">
        <v>20</v>
      </c>
      <c r="C12" s="91">
        <v>1</v>
      </c>
    </row>
    <row r="13" spans="1:4">
      <c r="A13" s="90" t="s">
        <v>471</v>
      </c>
      <c r="B13" s="92">
        <v>500</v>
      </c>
      <c r="C13" s="91">
        <v>1</v>
      </c>
    </row>
    <row r="14" spans="1:4">
      <c r="A14" s="90" t="s">
        <v>324</v>
      </c>
      <c r="B14" s="92">
        <v>2000</v>
      </c>
      <c r="C14" s="91">
        <v>0</v>
      </c>
    </row>
    <row r="15" spans="1:4">
      <c r="A15" s="90" t="s">
        <v>373</v>
      </c>
      <c r="B15" s="92">
        <v>5</v>
      </c>
      <c r="C15" s="91">
        <v>0</v>
      </c>
    </row>
    <row r="16" spans="1:4">
      <c r="A16" s="90" t="s">
        <v>374</v>
      </c>
      <c r="B16" s="92">
        <v>5</v>
      </c>
      <c r="C16" s="91">
        <v>0</v>
      </c>
    </row>
    <row r="17" spans="1:3">
      <c r="A17" s="90" t="s">
        <v>375</v>
      </c>
      <c r="B17" s="92">
        <v>10</v>
      </c>
      <c r="C17" s="91">
        <v>0</v>
      </c>
    </row>
    <row r="18" spans="1:3">
      <c r="A18" s="90" t="s">
        <v>325</v>
      </c>
      <c r="B18" s="92">
        <v>100</v>
      </c>
      <c r="C18" s="91">
        <v>0</v>
      </c>
    </row>
    <row r="19" spans="1:3">
      <c r="A19" s="90" t="s">
        <v>326</v>
      </c>
      <c r="B19" s="92">
        <v>10</v>
      </c>
      <c r="C19" s="91">
        <v>0</v>
      </c>
    </row>
    <row r="20" spans="1:3">
      <c r="A20" s="90" t="s">
        <v>327</v>
      </c>
      <c r="B20" s="92">
        <v>25</v>
      </c>
      <c r="C20" s="91">
        <v>0</v>
      </c>
    </row>
    <row r="21" spans="1:3">
      <c r="A21" s="90" t="s">
        <v>328</v>
      </c>
      <c r="B21" s="92">
        <v>25</v>
      </c>
      <c r="C21" s="91">
        <v>0</v>
      </c>
    </row>
    <row r="22" spans="1:3">
      <c r="A22" s="90" t="s">
        <v>475</v>
      </c>
      <c r="B22" s="92">
        <v>2500</v>
      </c>
      <c r="C22" s="91">
        <v>2</v>
      </c>
    </row>
    <row r="23" spans="1:3">
      <c r="A23" s="90" t="s">
        <v>372</v>
      </c>
      <c r="B23" s="92">
        <v>500</v>
      </c>
      <c r="C23" s="91">
        <v>10</v>
      </c>
    </row>
    <row r="24" spans="1:3">
      <c r="A24" s="90" t="s">
        <v>329</v>
      </c>
      <c r="B24" s="92">
        <v>40</v>
      </c>
      <c r="C24" s="91">
        <v>3</v>
      </c>
    </row>
    <row r="25" spans="1:3">
      <c r="A25" s="90" t="s">
        <v>330</v>
      </c>
      <c r="B25" s="92">
        <v>5</v>
      </c>
      <c r="C25" s="91">
        <v>0</v>
      </c>
    </row>
    <row r="26" spans="1:3">
      <c r="A26" s="90" t="s">
        <v>332</v>
      </c>
      <c r="B26" s="92">
        <v>2000</v>
      </c>
      <c r="C26" s="91">
        <v>5</v>
      </c>
    </row>
    <row r="27" spans="1:3">
      <c r="A27" s="90" t="s">
        <v>331</v>
      </c>
      <c r="B27" s="92">
        <v>15</v>
      </c>
      <c r="C27" s="91">
        <v>2</v>
      </c>
    </row>
    <row r="28" spans="1:3">
      <c r="A28" s="90" t="s">
        <v>338</v>
      </c>
      <c r="B28" s="92">
        <v>25</v>
      </c>
      <c r="C28" s="91">
        <v>1</v>
      </c>
    </row>
    <row r="29" spans="1:3">
      <c r="A29" s="90" t="s">
        <v>472</v>
      </c>
      <c r="B29" s="92">
        <v>50</v>
      </c>
      <c r="C29" s="91">
        <v>0</v>
      </c>
    </row>
    <row r="30" spans="1:3">
      <c r="A30" s="90" t="s">
        <v>333</v>
      </c>
      <c r="B30" s="92">
        <v>5</v>
      </c>
      <c r="C30" s="91">
        <v>0</v>
      </c>
    </row>
    <row r="31" spans="1:3">
      <c r="A31" s="90" t="s">
        <v>334</v>
      </c>
      <c r="B31" s="92">
        <v>650</v>
      </c>
      <c r="C31" s="91">
        <v>10</v>
      </c>
    </row>
    <row r="32" spans="1:3">
      <c r="A32" s="90" t="s">
        <v>335</v>
      </c>
      <c r="B32" s="92">
        <v>1200</v>
      </c>
      <c r="C32" s="91">
        <v>4</v>
      </c>
    </row>
    <row r="33" spans="1:3">
      <c r="A33" s="90" t="s">
        <v>336</v>
      </c>
      <c r="B33" s="92">
        <v>30</v>
      </c>
      <c r="C33" s="91">
        <v>1.5</v>
      </c>
    </row>
    <row r="34" spans="1:3">
      <c r="A34" s="90" t="s">
        <v>366</v>
      </c>
      <c r="B34" s="93">
        <v>10000</v>
      </c>
      <c r="C34" s="91">
        <v>0</v>
      </c>
    </row>
    <row r="35" spans="1:3">
      <c r="A35" s="90" t="s">
        <v>367</v>
      </c>
      <c r="B35" s="93">
        <v>20000</v>
      </c>
      <c r="C35" s="91">
        <v>0</v>
      </c>
    </row>
    <row r="36" spans="1:3">
      <c r="A36" s="90" t="s">
        <v>368</v>
      </c>
      <c r="B36" s="93">
        <v>40000</v>
      </c>
      <c r="C36" s="91">
        <v>0</v>
      </c>
    </row>
    <row r="37" spans="1:3">
      <c r="A37" s="90" t="s">
        <v>369</v>
      </c>
      <c r="B37" s="93">
        <v>80000</v>
      </c>
      <c r="C37" s="91">
        <v>0</v>
      </c>
    </row>
    <row r="38" spans="1:3">
      <c r="A38" s="90" t="s">
        <v>337</v>
      </c>
      <c r="B38" s="92">
        <v>200</v>
      </c>
      <c r="C38" s="91">
        <v>3</v>
      </c>
    </row>
    <row r="39" spans="1:3">
      <c r="A39" s="90" t="s">
        <v>339</v>
      </c>
      <c r="B39" s="92">
        <v>5</v>
      </c>
      <c r="C39" s="91">
        <v>0</v>
      </c>
    </row>
    <row r="40" spans="1:3">
      <c r="A40" s="90" t="s">
        <v>340</v>
      </c>
      <c r="B40" s="92">
        <v>200</v>
      </c>
      <c r="C40" s="91">
        <v>7</v>
      </c>
    </row>
    <row r="41" spans="1:3">
      <c r="A41" s="90" t="s">
        <v>341</v>
      </c>
      <c r="B41" s="92">
        <v>300</v>
      </c>
      <c r="C41" s="91">
        <v>0</v>
      </c>
    </row>
    <row r="42" spans="1:3">
      <c r="A42" s="90" t="s">
        <v>342</v>
      </c>
      <c r="B42" s="92">
        <v>500</v>
      </c>
      <c r="C42" s="91">
        <v>1</v>
      </c>
    </row>
    <row r="43" spans="1:3">
      <c r="A43" s="90" t="s">
        <v>473</v>
      </c>
      <c r="B43" s="92">
        <v>5000</v>
      </c>
      <c r="C43" s="91">
        <v>30</v>
      </c>
    </row>
    <row r="44" spans="1:3">
      <c r="A44" s="90" t="s">
        <v>474</v>
      </c>
      <c r="B44" s="92">
        <v>500</v>
      </c>
      <c r="C44" s="91">
        <v>5</v>
      </c>
    </row>
    <row r="45" spans="1:3">
      <c r="A45" s="90" t="s">
        <v>343</v>
      </c>
      <c r="B45" s="92">
        <v>10</v>
      </c>
      <c r="C45" s="91">
        <v>1</v>
      </c>
    </row>
    <row r="46" spans="1:3">
      <c r="A46" s="90" t="s">
        <v>344</v>
      </c>
      <c r="B46" s="92">
        <v>30</v>
      </c>
      <c r="C46" s="91">
        <v>2</v>
      </c>
    </row>
    <row r="47" spans="1:3">
      <c r="A47" s="90" t="s">
        <v>469</v>
      </c>
      <c r="B47" s="92">
        <v>100</v>
      </c>
      <c r="C47" s="91">
        <v>1</v>
      </c>
    </row>
    <row r="48" spans="1:3">
      <c r="A48" s="90" t="s">
        <v>345</v>
      </c>
      <c r="B48" s="92">
        <v>200</v>
      </c>
      <c r="C48" s="91">
        <v>0</v>
      </c>
    </row>
    <row r="49" spans="1:3">
      <c r="A49" s="90" t="s">
        <v>371</v>
      </c>
      <c r="B49" s="92">
        <v>500</v>
      </c>
      <c r="C49" s="91">
        <v>6</v>
      </c>
    </row>
    <row r="50" spans="1:3">
      <c r="A50" s="90" t="s">
        <v>376</v>
      </c>
      <c r="B50" s="92">
        <v>5</v>
      </c>
      <c r="C50" s="91">
        <v>0</v>
      </c>
    </row>
    <row r="51" spans="1:3">
      <c r="A51" s="90" t="s">
        <v>362</v>
      </c>
      <c r="B51" s="92">
        <v>700</v>
      </c>
      <c r="C51" s="91">
        <v>12</v>
      </c>
    </row>
    <row r="52" spans="1:3">
      <c r="A52" s="90" t="s">
        <v>363</v>
      </c>
      <c r="B52" s="93">
        <v>1200</v>
      </c>
      <c r="C52" s="91">
        <v>25</v>
      </c>
    </row>
    <row r="53" spans="1:3">
      <c r="A53" s="90" t="s">
        <v>364</v>
      </c>
      <c r="B53" s="93">
        <v>2300</v>
      </c>
      <c r="C53" s="91">
        <v>50</v>
      </c>
    </row>
    <row r="54" spans="1:3">
      <c r="A54" s="90" t="s">
        <v>365</v>
      </c>
      <c r="B54" s="93">
        <v>4500</v>
      </c>
      <c r="C54" s="91">
        <v>100</v>
      </c>
    </row>
    <row r="55" spans="1:3">
      <c r="A55" s="90" t="s">
        <v>346</v>
      </c>
      <c r="B55" s="92">
        <v>200</v>
      </c>
      <c r="C55" s="91">
        <v>3</v>
      </c>
    </row>
    <row r="56" spans="1:3">
      <c r="A56" s="90" t="s">
        <v>347</v>
      </c>
      <c r="B56" s="92">
        <v>1500</v>
      </c>
      <c r="C56" s="91">
        <v>0</v>
      </c>
    </row>
    <row r="57" spans="1:3">
      <c r="A57" s="90" t="s">
        <v>348</v>
      </c>
      <c r="B57" s="92">
        <v>500</v>
      </c>
      <c r="C57" s="91">
        <v>4</v>
      </c>
    </row>
    <row r="58" spans="1:3">
      <c r="A58" s="90" t="s">
        <v>322</v>
      </c>
      <c r="B58" s="92">
        <v>500</v>
      </c>
      <c r="C58" s="91">
        <v>7.5</v>
      </c>
    </row>
    <row r="59" spans="1:3">
      <c r="A59" s="90" t="s">
        <v>467</v>
      </c>
      <c r="B59" s="92">
        <v>2000</v>
      </c>
      <c r="C59" s="91">
        <v>2</v>
      </c>
    </row>
    <row r="60" spans="1:3">
      <c r="A60" s="90" t="s">
        <v>468</v>
      </c>
      <c r="B60" s="92">
        <v>50</v>
      </c>
      <c r="C60" s="91">
        <v>1</v>
      </c>
    </row>
    <row r="61" spans="1:3">
      <c r="A61" s="90" t="s">
        <v>349</v>
      </c>
      <c r="B61" s="92">
        <v>2</v>
      </c>
      <c r="C61" s="91">
        <v>2.5</v>
      </c>
    </row>
    <row r="62" spans="1:3">
      <c r="A62" s="90" t="s">
        <v>378</v>
      </c>
      <c r="B62" s="92">
        <v>5</v>
      </c>
      <c r="C62" s="91">
        <v>0</v>
      </c>
    </row>
    <row r="63" spans="1:3">
      <c r="A63" s="90" t="s">
        <v>350</v>
      </c>
      <c r="B63" s="92">
        <v>10</v>
      </c>
      <c r="C63" s="91">
        <v>0</v>
      </c>
    </row>
    <row r="64" spans="1:3">
      <c r="A64" s="90" t="s">
        <v>463</v>
      </c>
      <c r="B64" s="92">
        <v>1000</v>
      </c>
      <c r="C64" s="91">
        <v>10</v>
      </c>
    </row>
    <row r="65" spans="1:3">
      <c r="A65" s="90" t="s">
        <v>464</v>
      </c>
      <c r="B65" s="92">
        <v>1500</v>
      </c>
      <c r="C65" s="91">
        <v>15</v>
      </c>
    </row>
    <row r="66" spans="1:3">
      <c r="A66" s="90" t="s">
        <v>466</v>
      </c>
      <c r="B66" s="92">
        <v>1000</v>
      </c>
      <c r="C66" s="91">
        <v>10</v>
      </c>
    </row>
    <row r="67" spans="1:3">
      <c r="A67" s="90" t="s">
        <v>465</v>
      </c>
      <c r="B67" s="92">
        <v>50</v>
      </c>
      <c r="C67" s="91">
        <v>1</v>
      </c>
    </row>
    <row r="68" spans="1:3">
      <c r="A68" s="90" t="s">
        <v>351</v>
      </c>
      <c r="B68" s="92">
        <v>150</v>
      </c>
      <c r="C68" s="91">
        <v>2</v>
      </c>
    </row>
    <row r="69" spans="1:3">
      <c r="A69" s="90" t="s">
        <v>377</v>
      </c>
      <c r="B69" s="92">
        <v>5</v>
      </c>
      <c r="C69" s="91">
        <v>0</v>
      </c>
    </row>
    <row r="70" spans="1:3">
      <c r="A70" s="90" t="s">
        <v>352</v>
      </c>
      <c r="B70" s="92">
        <v>20000</v>
      </c>
      <c r="C70" s="91">
        <v>50</v>
      </c>
    </row>
    <row r="71" spans="1:3">
      <c r="A71" s="90" t="s">
        <v>353</v>
      </c>
      <c r="B71" s="92">
        <v>2</v>
      </c>
      <c r="C71" s="91">
        <v>0</v>
      </c>
    </row>
    <row r="72" spans="1:3">
      <c r="A72" s="90" t="s">
        <v>354</v>
      </c>
      <c r="B72" s="92">
        <v>2</v>
      </c>
      <c r="C72" s="91">
        <v>0</v>
      </c>
    </row>
    <row r="73" spans="1:3">
      <c r="A73" s="90" t="s">
        <v>370</v>
      </c>
      <c r="B73" s="92">
        <v>500</v>
      </c>
      <c r="C73" s="91">
        <v>10</v>
      </c>
    </row>
    <row r="74" spans="1:3">
      <c r="A74" s="90" t="s">
        <v>379</v>
      </c>
      <c r="B74" s="92">
        <v>10</v>
      </c>
      <c r="C74" s="91">
        <v>0</v>
      </c>
    </row>
    <row r="75" spans="1:3">
      <c r="A75" s="90" t="s">
        <v>355</v>
      </c>
      <c r="B75" s="92">
        <v>50</v>
      </c>
      <c r="C75" s="91">
        <v>3</v>
      </c>
    </row>
    <row r="76" spans="1:3">
      <c r="A76" s="90" t="s">
        <v>356</v>
      </c>
      <c r="B76" s="92">
        <v>20</v>
      </c>
      <c r="C76" s="91">
        <v>0</v>
      </c>
    </row>
    <row r="77" spans="1:3">
      <c r="A77" s="90" t="s">
        <v>357</v>
      </c>
      <c r="B77" s="92">
        <v>5</v>
      </c>
      <c r="C77" s="91">
        <v>0</v>
      </c>
    </row>
    <row r="78" spans="1:3">
      <c r="A78" s="90" t="s">
        <v>470</v>
      </c>
      <c r="B78" s="92">
        <v>50</v>
      </c>
      <c r="C78" s="91">
        <v>1</v>
      </c>
    </row>
    <row r="79" spans="1:3">
      <c r="A79" s="90" t="s">
        <v>358</v>
      </c>
      <c r="B79" s="92">
        <v>1</v>
      </c>
      <c r="C79" s="91">
        <v>0</v>
      </c>
    </row>
    <row r="80" spans="1:3">
      <c r="A80" s="90" t="s">
        <v>360</v>
      </c>
      <c r="B80" s="92">
        <v>15</v>
      </c>
      <c r="C80" s="91">
        <v>0</v>
      </c>
    </row>
    <row r="81" spans="1:3">
      <c r="A81" s="90" t="s">
        <v>359</v>
      </c>
      <c r="B81" s="92">
        <v>150</v>
      </c>
      <c r="C81" s="91">
        <v>0.5</v>
      </c>
    </row>
    <row r="82" spans="1:3">
      <c r="A82" s="90" t="s">
        <v>361</v>
      </c>
      <c r="B82" s="92">
        <v>4</v>
      </c>
      <c r="C82" s="91">
        <v>2</v>
      </c>
    </row>
    <row r="83" spans="1:3">
      <c r="A83" s="90" t="s">
        <v>380</v>
      </c>
    </row>
    <row r="84" spans="1:3">
      <c r="A84" s="95" t="s">
        <v>409</v>
      </c>
    </row>
    <row r="85" spans="1:3">
      <c r="A85" s="95" t="s">
        <v>381</v>
      </c>
    </row>
    <row r="86" spans="1:3">
      <c r="A86" s="95" t="s">
        <v>382</v>
      </c>
    </row>
    <row r="87" spans="1:3">
      <c r="A87" s="95" t="s">
        <v>383</v>
      </c>
    </row>
    <row r="88" spans="1:3">
      <c r="A88" s="95" t="s">
        <v>384</v>
      </c>
    </row>
    <row r="89" spans="1:3">
      <c r="A89" s="95" t="s">
        <v>385</v>
      </c>
    </row>
    <row r="90" spans="1:3">
      <c r="A90" s="95" t="s">
        <v>386</v>
      </c>
    </row>
    <row r="91" spans="1:3">
      <c r="A91" s="95" t="s">
        <v>387</v>
      </c>
    </row>
    <row r="92" spans="1:3">
      <c r="A92" s="95" t="s">
        <v>388</v>
      </c>
    </row>
    <row r="93" spans="1:3">
      <c r="A93" s="95" t="s">
        <v>389</v>
      </c>
    </row>
    <row r="94" spans="1:3">
      <c r="A94" s="95" t="s">
        <v>390</v>
      </c>
    </row>
    <row r="95" spans="1:3">
      <c r="A95" s="95" t="s">
        <v>391</v>
      </c>
    </row>
    <row r="96" spans="1:3">
      <c r="A96" s="95" t="s">
        <v>392</v>
      </c>
    </row>
    <row r="97" spans="1:1">
      <c r="A97" s="95" t="s">
        <v>393</v>
      </c>
    </row>
    <row r="98" spans="1:1">
      <c r="A98" s="95" t="s">
        <v>394</v>
      </c>
    </row>
    <row r="99" spans="1:1">
      <c r="A99" s="95" t="s">
        <v>395</v>
      </c>
    </row>
    <row r="100" spans="1:1">
      <c r="A100" s="95" t="s">
        <v>396</v>
      </c>
    </row>
    <row r="101" spans="1:1">
      <c r="A101" s="95" t="s">
        <v>397</v>
      </c>
    </row>
    <row r="102" spans="1:1">
      <c r="A102" s="95" t="s">
        <v>398</v>
      </c>
    </row>
    <row r="103" spans="1:1">
      <c r="A103" s="95" t="s">
        <v>399</v>
      </c>
    </row>
    <row r="104" spans="1:1">
      <c r="A104" s="95" t="s">
        <v>400</v>
      </c>
    </row>
    <row r="105" spans="1:1">
      <c r="A105" s="95" t="s">
        <v>401</v>
      </c>
    </row>
    <row r="106" spans="1:1">
      <c r="A106" s="95" t="s">
        <v>402</v>
      </c>
    </row>
    <row r="107" spans="1:1">
      <c r="A107" s="95" t="s">
        <v>403</v>
      </c>
    </row>
    <row r="108" spans="1:1">
      <c r="A108" s="95" t="s">
        <v>404</v>
      </c>
    </row>
    <row r="109" spans="1:1">
      <c r="A109" s="95" t="s">
        <v>405</v>
      </c>
    </row>
    <row r="110" spans="1:1">
      <c r="A110" s="95" t="s">
        <v>406</v>
      </c>
    </row>
    <row r="111" spans="1:1">
      <c r="A111" s="95" t="s">
        <v>407</v>
      </c>
    </row>
    <row r="112" spans="1:1">
      <c r="A112" s="95" t="s">
        <v>408</v>
      </c>
    </row>
    <row r="113" spans="1:1">
      <c r="A113" s="95" t="s">
        <v>410</v>
      </c>
    </row>
    <row r="114" spans="1:1">
      <c r="A114" s="95" t="s">
        <v>411</v>
      </c>
    </row>
    <row r="115" spans="1:1">
      <c r="A115" s="95" t="s">
        <v>412</v>
      </c>
    </row>
    <row r="116" spans="1:1">
      <c r="A116" s="95" t="s">
        <v>413</v>
      </c>
    </row>
    <row r="117" spans="1:1">
      <c r="A117" s="95" t="s">
        <v>414</v>
      </c>
    </row>
    <row r="118" spans="1:1">
      <c r="A118" s="95" t="s">
        <v>415</v>
      </c>
    </row>
    <row r="119" spans="1:1">
      <c r="A119" s="95" t="s">
        <v>416</v>
      </c>
    </row>
    <row r="120" spans="1:1">
      <c r="A120" s="95" t="s">
        <v>417</v>
      </c>
    </row>
    <row r="121" spans="1:1">
      <c r="A121" s="95" t="s">
        <v>418</v>
      </c>
    </row>
    <row r="122" spans="1:1">
      <c r="A122" s="95" t="s">
        <v>419</v>
      </c>
    </row>
    <row r="123" spans="1:1">
      <c r="A123" s="95" t="s">
        <v>420</v>
      </c>
    </row>
    <row r="124" spans="1:1">
      <c r="A124" s="95" t="s">
        <v>421</v>
      </c>
    </row>
    <row r="125" spans="1:1">
      <c r="A125" s="95" t="s">
        <v>422</v>
      </c>
    </row>
    <row r="126" spans="1:1">
      <c r="A126" s="95" t="s">
        <v>423</v>
      </c>
    </row>
    <row r="127" spans="1:1">
      <c r="A127" s="95" t="s">
        <v>424</v>
      </c>
    </row>
    <row r="128" spans="1:1">
      <c r="A128" s="95" t="s">
        <v>425</v>
      </c>
    </row>
    <row r="129" spans="1:1">
      <c r="A129" s="95" t="s">
        <v>426</v>
      </c>
    </row>
    <row r="130" spans="1:1">
      <c r="A130" s="95" t="s">
        <v>427</v>
      </c>
    </row>
    <row r="131" spans="1:1">
      <c r="A131" s="95" t="s">
        <v>428</v>
      </c>
    </row>
    <row r="132" spans="1:1">
      <c r="A132" s="95" t="s">
        <v>429</v>
      </c>
    </row>
    <row r="133" spans="1:1">
      <c r="A133" s="95" t="s">
        <v>430</v>
      </c>
    </row>
    <row r="134" spans="1:1">
      <c r="A134" s="95" t="s">
        <v>431</v>
      </c>
    </row>
    <row r="135" spans="1:1">
      <c r="A135" s="95" t="s">
        <v>432</v>
      </c>
    </row>
  </sheetData>
  <sortState ref="A13:C82">
    <sortCondition ref="A13:A82"/>
  </sortState>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selection activeCell="E10" sqref="E10"/>
    </sheetView>
  </sheetViews>
  <sheetFormatPr baseColWidth="10" defaultRowHeight="15" x14ac:dyDescent="0"/>
  <cols>
    <col min="1" max="1" width="15" customWidth="1"/>
    <col min="2" max="3" width="5.83203125" customWidth="1"/>
    <col min="4" max="4" width="7.1640625" style="7" customWidth="1"/>
    <col min="5" max="5" width="19.33203125" style="7" customWidth="1"/>
    <col min="6" max="6" width="7" customWidth="1"/>
    <col min="7" max="7" width="6.6640625" style="7" customWidth="1"/>
    <col min="8" max="8" width="5.6640625" style="7" customWidth="1"/>
    <col min="10" max="10" width="18.83203125" style="7" customWidth="1"/>
  </cols>
  <sheetData>
    <row r="1" spans="1:11">
      <c r="A1" t="s">
        <v>483</v>
      </c>
    </row>
    <row r="2" spans="1:11" s="6" customFormat="1">
      <c r="A2" s="243" t="s">
        <v>21</v>
      </c>
      <c r="B2" s="243" t="s">
        <v>79</v>
      </c>
      <c r="C2" s="243" t="s">
        <v>159</v>
      </c>
      <c r="D2" s="243" t="s">
        <v>43</v>
      </c>
      <c r="E2" s="243" t="s">
        <v>60</v>
      </c>
      <c r="F2" s="243" t="s">
        <v>22</v>
      </c>
      <c r="G2" s="243" t="s">
        <v>82</v>
      </c>
      <c r="H2" s="243" t="s">
        <v>89</v>
      </c>
      <c r="I2" s="243" t="s">
        <v>61</v>
      </c>
      <c r="J2" s="243" t="s">
        <v>90</v>
      </c>
      <c r="K2" s="243" t="s">
        <v>174</v>
      </c>
    </row>
    <row r="3" spans="1:11">
      <c r="A3" t="s">
        <v>104</v>
      </c>
      <c r="B3">
        <v>200</v>
      </c>
      <c r="C3" s="137">
        <v>0</v>
      </c>
      <c r="D3" s="7">
        <v>2</v>
      </c>
      <c r="E3" s="7" t="s">
        <v>105</v>
      </c>
      <c r="F3" t="s">
        <v>109</v>
      </c>
      <c r="G3" s="7">
        <v>0</v>
      </c>
      <c r="H3" s="7" t="s">
        <v>106</v>
      </c>
      <c r="I3" s="6" t="s">
        <v>63</v>
      </c>
      <c r="J3" s="7" t="s">
        <v>107</v>
      </c>
      <c r="K3" s="7" t="s">
        <v>176</v>
      </c>
    </row>
    <row r="4" spans="1:11">
      <c r="A4" t="s">
        <v>108</v>
      </c>
      <c r="B4">
        <v>300</v>
      </c>
      <c r="C4" s="137">
        <v>0</v>
      </c>
      <c r="D4" s="7">
        <v>4</v>
      </c>
      <c r="E4" s="7" t="s">
        <v>105</v>
      </c>
      <c r="F4" t="s">
        <v>109</v>
      </c>
      <c r="G4" s="7">
        <v>0</v>
      </c>
      <c r="H4" s="7" t="s">
        <v>106</v>
      </c>
      <c r="I4" s="6" t="s">
        <v>110</v>
      </c>
      <c r="J4" s="7" t="s">
        <v>111</v>
      </c>
      <c r="K4" s="7" t="s">
        <v>176</v>
      </c>
    </row>
    <row r="5" spans="1:11">
      <c r="A5" t="s">
        <v>62</v>
      </c>
      <c r="B5">
        <v>15</v>
      </c>
      <c r="C5" s="137">
        <v>0.05</v>
      </c>
      <c r="D5" s="7">
        <v>1</v>
      </c>
      <c r="E5" s="7" t="s">
        <v>129</v>
      </c>
      <c r="F5" t="s">
        <v>56</v>
      </c>
      <c r="G5" s="7">
        <v>0</v>
      </c>
      <c r="H5" s="7">
        <v>1</v>
      </c>
      <c r="I5" s="6" t="s">
        <v>63</v>
      </c>
      <c r="J5" s="7" t="s">
        <v>160</v>
      </c>
      <c r="K5" s="7" t="s">
        <v>179</v>
      </c>
    </row>
    <row r="6" spans="1:11">
      <c r="A6" t="s">
        <v>161</v>
      </c>
      <c r="B6">
        <v>50</v>
      </c>
      <c r="C6" s="137">
        <v>0</v>
      </c>
      <c r="D6" s="7">
        <v>0</v>
      </c>
      <c r="E6" s="7" t="s">
        <v>162</v>
      </c>
      <c r="F6" t="s">
        <v>163</v>
      </c>
      <c r="G6" s="7">
        <v>0</v>
      </c>
      <c r="H6" s="7">
        <v>1</v>
      </c>
      <c r="I6" s="6" t="s">
        <v>63</v>
      </c>
      <c r="J6" s="7" t="s">
        <v>164</v>
      </c>
      <c r="K6" s="7" t="s">
        <v>179</v>
      </c>
    </row>
    <row r="7" spans="1:11">
      <c r="A7" t="s">
        <v>64</v>
      </c>
      <c r="B7">
        <v>10</v>
      </c>
      <c r="C7" s="137">
        <v>0</v>
      </c>
      <c r="D7" s="7">
        <v>1</v>
      </c>
      <c r="E7" s="7" t="s">
        <v>162</v>
      </c>
      <c r="F7" t="s">
        <v>56</v>
      </c>
      <c r="G7" s="7">
        <v>0</v>
      </c>
      <c r="H7" s="7">
        <v>1</v>
      </c>
      <c r="I7" s="6" t="s">
        <v>63</v>
      </c>
      <c r="J7" s="7">
        <v>0</v>
      </c>
      <c r="K7" s="7" t="s">
        <v>179</v>
      </c>
    </row>
    <row r="8" spans="1:11">
      <c r="A8" t="s">
        <v>143</v>
      </c>
      <c r="B8">
        <v>10</v>
      </c>
      <c r="C8" s="137">
        <v>0</v>
      </c>
      <c r="D8" s="7">
        <v>0</v>
      </c>
      <c r="E8" s="7" t="s">
        <v>144</v>
      </c>
      <c r="F8" t="s">
        <v>147</v>
      </c>
      <c r="G8" s="7">
        <v>0</v>
      </c>
      <c r="H8" s="7">
        <v>1</v>
      </c>
      <c r="I8" s="6" t="s">
        <v>145</v>
      </c>
      <c r="J8" s="7" t="s">
        <v>146</v>
      </c>
      <c r="K8" s="7" t="s">
        <v>178</v>
      </c>
    </row>
    <row r="9" spans="1:11">
      <c r="A9" t="s">
        <v>65</v>
      </c>
      <c r="B9">
        <v>150</v>
      </c>
      <c r="C9" s="137">
        <v>0.1</v>
      </c>
      <c r="D9" s="7">
        <v>2</v>
      </c>
      <c r="E9" s="7" t="s">
        <v>81</v>
      </c>
      <c r="F9" t="s">
        <v>82</v>
      </c>
      <c r="G9" s="7" t="s">
        <v>170</v>
      </c>
      <c r="H9" s="7">
        <v>1</v>
      </c>
      <c r="I9" s="6" t="s">
        <v>66</v>
      </c>
      <c r="J9" s="7">
        <v>0</v>
      </c>
      <c r="K9" s="7" t="s">
        <v>179</v>
      </c>
    </row>
    <row r="10" spans="1:11">
      <c r="A10" t="s">
        <v>80</v>
      </c>
      <c r="B10">
        <v>500</v>
      </c>
      <c r="C10" s="137">
        <v>0</v>
      </c>
      <c r="D10" s="7">
        <v>1</v>
      </c>
      <c r="E10" s="7" t="s">
        <v>81</v>
      </c>
      <c r="F10" t="s">
        <v>82</v>
      </c>
      <c r="G10" s="7">
        <v>2</v>
      </c>
      <c r="H10" s="7">
        <v>1</v>
      </c>
      <c r="I10" s="6" t="s">
        <v>66</v>
      </c>
      <c r="J10" s="7" t="s">
        <v>83</v>
      </c>
      <c r="K10" s="7" t="s">
        <v>175</v>
      </c>
    </row>
    <row r="11" spans="1:11">
      <c r="A11" t="s">
        <v>148</v>
      </c>
      <c r="B11">
        <v>20</v>
      </c>
      <c r="C11" s="137">
        <v>0</v>
      </c>
      <c r="D11" s="7">
        <v>0</v>
      </c>
      <c r="E11" s="7" t="s">
        <v>149</v>
      </c>
      <c r="F11" t="s">
        <v>147</v>
      </c>
      <c r="G11" s="7">
        <v>0</v>
      </c>
      <c r="H11" s="7">
        <v>1</v>
      </c>
      <c r="I11" s="6" t="s">
        <v>138</v>
      </c>
      <c r="J11" s="7" t="s">
        <v>146</v>
      </c>
      <c r="K11" s="7" t="s">
        <v>178</v>
      </c>
    </row>
    <row r="12" spans="1:11">
      <c r="A12" t="s">
        <v>135</v>
      </c>
      <c r="B12">
        <v>700</v>
      </c>
      <c r="C12" s="137">
        <v>0</v>
      </c>
      <c r="D12" s="7">
        <v>4</v>
      </c>
      <c r="E12" s="7" t="s">
        <v>136</v>
      </c>
      <c r="F12" t="s">
        <v>137</v>
      </c>
      <c r="G12" s="7">
        <v>0</v>
      </c>
      <c r="H12" s="8" t="s">
        <v>126</v>
      </c>
      <c r="I12" s="6" t="s">
        <v>138</v>
      </c>
      <c r="J12" s="8" t="s">
        <v>139</v>
      </c>
      <c r="K12" s="7" t="s">
        <v>177</v>
      </c>
    </row>
    <row r="13" spans="1:11">
      <c r="A13" t="s">
        <v>128</v>
      </c>
      <c r="B13">
        <v>200</v>
      </c>
      <c r="C13" s="137">
        <v>0</v>
      </c>
      <c r="D13" s="7">
        <v>1</v>
      </c>
      <c r="E13" s="7" t="s">
        <v>129</v>
      </c>
      <c r="F13" t="s">
        <v>130</v>
      </c>
      <c r="G13" s="7">
        <v>0</v>
      </c>
      <c r="H13" s="7">
        <v>3</v>
      </c>
      <c r="I13" s="6" t="s">
        <v>63</v>
      </c>
      <c r="J13" s="8" t="s">
        <v>131</v>
      </c>
      <c r="K13" s="7" t="s">
        <v>177</v>
      </c>
    </row>
    <row r="14" spans="1:11">
      <c r="A14" t="s">
        <v>132</v>
      </c>
      <c r="B14">
        <v>300</v>
      </c>
      <c r="C14" s="137">
        <v>0</v>
      </c>
      <c r="D14" s="7">
        <v>4</v>
      </c>
      <c r="E14" s="7" t="s">
        <v>133</v>
      </c>
      <c r="F14" t="s">
        <v>130</v>
      </c>
      <c r="G14" s="7">
        <v>0</v>
      </c>
      <c r="H14" s="7">
        <v>3</v>
      </c>
      <c r="I14" s="6" t="s">
        <v>63</v>
      </c>
      <c r="J14" s="8" t="s">
        <v>134</v>
      </c>
      <c r="K14" s="7" t="s">
        <v>177</v>
      </c>
    </row>
    <row r="15" spans="1:11">
      <c r="A15" t="s">
        <v>101</v>
      </c>
      <c r="B15">
        <v>6000</v>
      </c>
      <c r="C15" s="137">
        <v>0</v>
      </c>
      <c r="D15" s="7">
        <v>20</v>
      </c>
      <c r="E15" s="7" t="s">
        <v>85</v>
      </c>
      <c r="F15" t="s">
        <v>82</v>
      </c>
      <c r="G15" s="7" t="s">
        <v>102</v>
      </c>
      <c r="H15" s="7">
        <v>1</v>
      </c>
      <c r="I15" s="6" t="s">
        <v>87</v>
      </c>
      <c r="J15" s="8" t="s">
        <v>103</v>
      </c>
      <c r="K15" s="7" t="s">
        <v>175</v>
      </c>
    </row>
    <row r="16" spans="1:11">
      <c r="A16" t="s">
        <v>150</v>
      </c>
      <c r="B16">
        <v>20</v>
      </c>
      <c r="C16" s="137">
        <v>0</v>
      </c>
      <c r="D16" s="7">
        <v>0</v>
      </c>
      <c r="E16" s="7" t="s">
        <v>151</v>
      </c>
      <c r="F16" t="s">
        <v>147</v>
      </c>
      <c r="G16" s="7">
        <v>0</v>
      </c>
      <c r="H16" s="7">
        <v>1</v>
      </c>
      <c r="I16" s="6" t="s">
        <v>138</v>
      </c>
      <c r="J16" s="7" t="s">
        <v>146</v>
      </c>
      <c r="K16" s="7" t="s">
        <v>178</v>
      </c>
    </row>
    <row r="17" spans="1:11">
      <c r="A17" t="s">
        <v>67</v>
      </c>
      <c r="B17">
        <v>10</v>
      </c>
      <c r="C17" s="137">
        <v>0.05</v>
      </c>
      <c r="D17" s="7">
        <v>0</v>
      </c>
      <c r="E17" s="7" t="s">
        <v>162</v>
      </c>
      <c r="F17" t="s">
        <v>56</v>
      </c>
      <c r="G17" s="7">
        <v>0</v>
      </c>
      <c r="H17" s="7">
        <v>1</v>
      </c>
      <c r="I17" s="6" t="s">
        <v>63</v>
      </c>
      <c r="J17" s="7" t="s">
        <v>160</v>
      </c>
      <c r="K17" s="7" t="s">
        <v>179</v>
      </c>
    </row>
    <row r="18" spans="1:11">
      <c r="A18" t="s">
        <v>84</v>
      </c>
      <c r="B18">
        <v>600</v>
      </c>
      <c r="C18" s="137">
        <v>0</v>
      </c>
      <c r="D18" s="7">
        <v>1</v>
      </c>
      <c r="E18" s="7" t="s">
        <v>85</v>
      </c>
      <c r="F18" t="s">
        <v>82</v>
      </c>
      <c r="G18" s="7" t="s">
        <v>86</v>
      </c>
      <c r="H18" s="7">
        <v>2</v>
      </c>
      <c r="I18" s="6" t="s">
        <v>87</v>
      </c>
      <c r="J18" s="7" t="s">
        <v>88</v>
      </c>
      <c r="K18" s="7" t="s">
        <v>175</v>
      </c>
    </row>
    <row r="19" spans="1:11">
      <c r="A19" t="s">
        <v>91</v>
      </c>
      <c r="B19">
        <v>800</v>
      </c>
      <c r="C19" s="137">
        <v>0</v>
      </c>
      <c r="D19" s="7">
        <v>3</v>
      </c>
      <c r="E19" s="7" t="s">
        <v>85</v>
      </c>
      <c r="F19" t="s">
        <v>82</v>
      </c>
      <c r="G19" s="7" t="s">
        <v>92</v>
      </c>
      <c r="H19" s="7">
        <v>2</v>
      </c>
      <c r="I19" s="6" t="s">
        <v>87</v>
      </c>
      <c r="J19" s="7" t="s">
        <v>93</v>
      </c>
      <c r="K19" s="7" t="s">
        <v>175</v>
      </c>
    </row>
    <row r="20" spans="1:11">
      <c r="A20" t="s">
        <v>119</v>
      </c>
      <c r="B20">
        <v>2000</v>
      </c>
      <c r="C20" s="137">
        <v>0</v>
      </c>
      <c r="D20" s="7">
        <v>20</v>
      </c>
      <c r="E20" s="7" t="s">
        <v>120</v>
      </c>
      <c r="F20" t="s">
        <v>121</v>
      </c>
      <c r="G20" s="7">
        <v>0</v>
      </c>
      <c r="H20" s="7">
        <v>1</v>
      </c>
      <c r="I20" s="6" t="s">
        <v>63</v>
      </c>
      <c r="J20" s="8" t="s">
        <v>122</v>
      </c>
      <c r="K20" s="7" t="s">
        <v>176</v>
      </c>
    </row>
    <row r="21" spans="1:11">
      <c r="A21" t="s">
        <v>165</v>
      </c>
      <c r="B21">
        <v>100</v>
      </c>
      <c r="C21" s="137">
        <v>0</v>
      </c>
      <c r="D21" s="7">
        <v>2</v>
      </c>
      <c r="E21" s="7" t="s">
        <v>162</v>
      </c>
      <c r="F21" t="s">
        <v>166</v>
      </c>
      <c r="G21" s="7">
        <v>0</v>
      </c>
      <c r="H21" s="7">
        <v>1</v>
      </c>
      <c r="I21" s="6" t="s">
        <v>63</v>
      </c>
      <c r="J21" s="7" t="s">
        <v>167</v>
      </c>
      <c r="K21" s="7" t="s">
        <v>179</v>
      </c>
    </row>
    <row r="22" spans="1:11">
      <c r="A22" t="s">
        <v>112</v>
      </c>
      <c r="B22">
        <v>200</v>
      </c>
      <c r="C22" s="137">
        <v>0</v>
      </c>
      <c r="D22" s="7">
        <v>1</v>
      </c>
      <c r="E22" s="7" t="s">
        <v>113</v>
      </c>
      <c r="F22" t="s">
        <v>114</v>
      </c>
      <c r="G22" s="7">
        <v>0</v>
      </c>
      <c r="H22" s="7">
        <v>3</v>
      </c>
      <c r="I22" s="6" t="s">
        <v>63</v>
      </c>
      <c r="J22" s="7" t="s">
        <v>115</v>
      </c>
      <c r="K22" s="7" t="s">
        <v>176</v>
      </c>
    </row>
    <row r="23" spans="1:11">
      <c r="A23" t="s">
        <v>116</v>
      </c>
      <c r="B23">
        <v>400</v>
      </c>
      <c r="C23" s="137">
        <v>0</v>
      </c>
      <c r="D23" s="7">
        <v>3</v>
      </c>
      <c r="E23" s="7" t="s">
        <v>117</v>
      </c>
      <c r="F23" t="s">
        <v>114</v>
      </c>
      <c r="G23" s="7">
        <v>0</v>
      </c>
      <c r="H23" s="7">
        <v>3</v>
      </c>
      <c r="I23" s="6" t="s">
        <v>63</v>
      </c>
      <c r="J23" s="7" t="s">
        <v>118</v>
      </c>
      <c r="K23" s="7" t="s">
        <v>176</v>
      </c>
    </row>
    <row r="24" spans="1:11">
      <c r="A24" t="s">
        <v>68</v>
      </c>
      <c r="B24">
        <v>20</v>
      </c>
      <c r="C24" s="137">
        <v>0.05</v>
      </c>
      <c r="D24" s="7">
        <v>1</v>
      </c>
      <c r="E24" s="7" t="s">
        <v>129</v>
      </c>
      <c r="F24" t="s">
        <v>56</v>
      </c>
      <c r="G24" s="7">
        <v>0</v>
      </c>
      <c r="H24" s="7">
        <v>1</v>
      </c>
      <c r="I24" s="6" t="s">
        <v>63</v>
      </c>
      <c r="J24" s="7">
        <v>0</v>
      </c>
      <c r="K24" s="7" t="s">
        <v>179</v>
      </c>
    </row>
    <row r="25" spans="1:11">
      <c r="A25" t="s">
        <v>152</v>
      </c>
      <c r="B25">
        <v>30</v>
      </c>
      <c r="C25" s="137">
        <v>0</v>
      </c>
      <c r="D25" s="7">
        <v>0</v>
      </c>
      <c r="E25" s="7" t="s">
        <v>153</v>
      </c>
      <c r="F25" t="s">
        <v>147</v>
      </c>
      <c r="G25" s="7">
        <v>0</v>
      </c>
      <c r="H25" s="7">
        <v>1</v>
      </c>
      <c r="I25" s="6" t="s">
        <v>145</v>
      </c>
      <c r="J25" s="7" t="s">
        <v>146</v>
      </c>
      <c r="K25" s="7" t="s">
        <v>178</v>
      </c>
    </row>
    <row r="26" spans="1:11">
      <c r="A26" t="s">
        <v>69</v>
      </c>
      <c r="B26">
        <v>40</v>
      </c>
      <c r="C26" s="137">
        <v>-0.1</v>
      </c>
      <c r="D26" s="7">
        <v>4</v>
      </c>
      <c r="E26" s="7" t="s">
        <v>169</v>
      </c>
      <c r="F26" t="s">
        <v>56</v>
      </c>
      <c r="G26" s="7">
        <v>0</v>
      </c>
      <c r="H26" s="7">
        <v>1</v>
      </c>
      <c r="I26" s="6" t="s">
        <v>63</v>
      </c>
      <c r="J26" s="7">
        <v>0</v>
      </c>
      <c r="K26" s="7" t="s">
        <v>179</v>
      </c>
    </row>
    <row r="27" spans="1:11">
      <c r="A27" t="s">
        <v>123</v>
      </c>
      <c r="B27">
        <v>4000</v>
      </c>
      <c r="C27" s="137">
        <v>0</v>
      </c>
      <c r="D27" s="7">
        <v>20</v>
      </c>
      <c r="E27" s="7" t="s">
        <v>124</v>
      </c>
      <c r="F27" t="s">
        <v>125</v>
      </c>
      <c r="G27" s="7">
        <v>0</v>
      </c>
      <c r="H27" s="8" t="s">
        <v>126</v>
      </c>
      <c r="I27" s="6" t="s">
        <v>63</v>
      </c>
      <c r="J27" s="8" t="s">
        <v>127</v>
      </c>
      <c r="K27" s="7" t="s">
        <v>176</v>
      </c>
    </row>
    <row r="28" spans="1:11">
      <c r="A28" t="s">
        <v>140</v>
      </c>
      <c r="B28">
        <v>5000</v>
      </c>
      <c r="C28" s="137">
        <v>0</v>
      </c>
      <c r="D28" s="7">
        <v>15</v>
      </c>
      <c r="E28" s="7" t="s">
        <v>141</v>
      </c>
      <c r="F28" t="s">
        <v>142</v>
      </c>
      <c r="G28" s="7">
        <v>0</v>
      </c>
      <c r="H28" s="8" t="s">
        <v>126</v>
      </c>
      <c r="I28" s="6" t="s">
        <v>63</v>
      </c>
      <c r="J28" s="8" t="s">
        <v>122</v>
      </c>
      <c r="K28" s="7" t="s">
        <v>177</v>
      </c>
    </row>
    <row r="29" spans="1:11">
      <c r="A29" t="s">
        <v>70</v>
      </c>
      <c r="B29">
        <v>50</v>
      </c>
      <c r="C29" s="137">
        <v>0</v>
      </c>
      <c r="D29" s="7">
        <v>1</v>
      </c>
      <c r="E29" s="7" t="s">
        <v>129</v>
      </c>
      <c r="F29" t="s">
        <v>82</v>
      </c>
      <c r="G29" s="7" t="s">
        <v>170</v>
      </c>
      <c r="H29" s="7">
        <v>1</v>
      </c>
      <c r="I29" s="6" t="s">
        <v>66</v>
      </c>
      <c r="J29" s="7">
        <v>0</v>
      </c>
      <c r="K29" s="7" t="s">
        <v>179</v>
      </c>
    </row>
    <row r="30" spans="1:11">
      <c r="A30" t="s">
        <v>154</v>
      </c>
      <c r="B30">
        <v>10</v>
      </c>
      <c r="C30" s="137">
        <v>0</v>
      </c>
      <c r="D30" s="7">
        <v>0</v>
      </c>
      <c r="E30" s="8" t="s">
        <v>155</v>
      </c>
      <c r="F30" t="s">
        <v>147</v>
      </c>
      <c r="G30" s="7">
        <v>0</v>
      </c>
      <c r="H30" s="7">
        <v>1</v>
      </c>
      <c r="I30" s="6" t="s">
        <v>156</v>
      </c>
      <c r="J30" s="7" t="s">
        <v>146</v>
      </c>
      <c r="K30" s="7" t="s">
        <v>178</v>
      </c>
    </row>
    <row r="31" spans="1:11">
      <c r="A31" t="s">
        <v>94</v>
      </c>
      <c r="B31">
        <v>700</v>
      </c>
      <c r="C31" s="137">
        <v>0</v>
      </c>
      <c r="D31" s="7">
        <v>4</v>
      </c>
      <c r="E31" s="7" t="s">
        <v>95</v>
      </c>
      <c r="F31" t="s">
        <v>82</v>
      </c>
      <c r="G31" s="7">
        <v>4</v>
      </c>
      <c r="H31" s="7">
        <v>1</v>
      </c>
      <c r="I31" s="6" t="s">
        <v>72</v>
      </c>
      <c r="J31" s="7" t="s">
        <v>96</v>
      </c>
      <c r="K31" s="7" t="s">
        <v>175</v>
      </c>
    </row>
    <row r="32" spans="1:11">
      <c r="A32" t="s">
        <v>71</v>
      </c>
      <c r="B32">
        <v>50</v>
      </c>
      <c r="C32" s="137">
        <v>0.1</v>
      </c>
      <c r="D32" s="7">
        <v>1</v>
      </c>
      <c r="E32" s="7" t="s">
        <v>133</v>
      </c>
      <c r="F32" t="s">
        <v>82</v>
      </c>
      <c r="G32" s="7" t="s">
        <v>171</v>
      </c>
      <c r="H32" s="7">
        <v>1</v>
      </c>
      <c r="I32" s="6" t="s">
        <v>72</v>
      </c>
      <c r="J32" s="7">
        <v>0</v>
      </c>
      <c r="K32" s="7" t="s">
        <v>179</v>
      </c>
    </row>
    <row r="33" spans="1:11">
      <c r="A33" t="s">
        <v>97</v>
      </c>
      <c r="B33">
        <v>500</v>
      </c>
      <c r="C33" s="137">
        <v>0</v>
      </c>
      <c r="D33" s="7">
        <v>1</v>
      </c>
      <c r="E33" s="7" t="s">
        <v>98</v>
      </c>
      <c r="F33" t="s">
        <v>82</v>
      </c>
      <c r="G33" s="7">
        <v>2</v>
      </c>
      <c r="H33" s="7">
        <v>1</v>
      </c>
      <c r="I33" s="6" t="s">
        <v>99</v>
      </c>
      <c r="J33" s="7" t="s">
        <v>100</v>
      </c>
      <c r="K33" s="7" t="s">
        <v>175</v>
      </c>
    </row>
    <row r="34" spans="1:11">
      <c r="A34" t="s">
        <v>73</v>
      </c>
      <c r="B34">
        <v>300</v>
      </c>
      <c r="C34" s="137">
        <v>0.15</v>
      </c>
      <c r="D34" s="7">
        <v>1</v>
      </c>
      <c r="E34" s="7" t="s">
        <v>172</v>
      </c>
      <c r="F34" t="s">
        <v>82</v>
      </c>
      <c r="G34" s="7" t="s">
        <v>170</v>
      </c>
      <c r="H34" s="7">
        <v>1</v>
      </c>
      <c r="I34" s="6" t="s">
        <v>72</v>
      </c>
      <c r="J34" s="7">
        <v>0</v>
      </c>
      <c r="K34" s="7" t="s">
        <v>179</v>
      </c>
    </row>
    <row r="35" spans="1:11">
      <c r="A35" t="s">
        <v>74</v>
      </c>
      <c r="B35">
        <v>20</v>
      </c>
      <c r="C35" s="137">
        <v>0.15</v>
      </c>
      <c r="D35" s="7">
        <v>20</v>
      </c>
      <c r="E35" s="7" t="s">
        <v>129</v>
      </c>
      <c r="F35" t="s">
        <v>56</v>
      </c>
      <c r="G35" s="7">
        <v>0</v>
      </c>
      <c r="H35" s="7">
        <v>1</v>
      </c>
      <c r="I35" s="6" t="s">
        <v>63</v>
      </c>
      <c r="J35" s="7" t="s">
        <v>168</v>
      </c>
      <c r="K35" s="7" t="s">
        <v>179</v>
      </c>
    </row>
    <row r="36" spans="1:11">
      <c r="A36" t="s">
        <v>75</v>
      </c>
      <c r="B36">
        <v>75</v>
      </c>
      <c r="C36" s="137">
        <v>0.05</v>
      </c>
      <c r="D36" s="7">
        <v>1</v>
      </c>
      <c r="E36" s="7" t="s">
        <v>173</v>
      </c>
      <c r="F36" t="s">
        <v>82</v>
      </c>
      <c r="G36" s="7" t="s">
        <v>170</v>
      </c>
      <c r="H36" s="7">
        <v>1</v>
      </c>
      <c r="I36" s="6" t="s">
        <v>66</v>
      </c>
      <c r="J36" s="7">
        <v>0</v>
      </c>
      <c r="K36" s="7" t="s">
        <v>179</v>
      </c>
    </row>
    <row r="37" spans="1:11">
      <c r="A37" t="s">
        <v>76</v>
      </c>
      <c r="B37">
        <v>30</v>
      </c>
      <c r="C37" s="137">
        <v>0.1</v>
      </c>
      <c r="D37" s="7">
        <v>2</v>
      </c>
      <c r="E37" s="7" t="s">
        <v>133</v>
      </c>
      <c r="F37" t="s">
        <v>56</v>
      </c>
      <c r="G37" s="7">
        <v>0</v>
      </c>
      <c r="H37" s="7">
        <v>1</v>
      </c>
      <c r="I37" s="6" t="s">
        <v>63</v>
      </c>
      <c r="J37" s="7">
        <v>0</v>
      </c>
      <c r="K37" s="7" t="s">
        <v>179</v>
      </c>
    </row>
    <row r="38" spans="1:11">
      <c r="A38" t="s">
        <v>157</v>
      </c>
      <c r="B38">
        <v>25</v>
      </c>
      <c r="C38" s="137">
        <v>0</v>
      </c>
      <c r="D38" s="7" t="s">
        <v>56</v>
      </c>
      <c r="E38" s="7" t="s">
        <v>158</v>
      </c>
      <c r="F38" t="s">
        <v>147</v>
      </c>
      <c r="G38" s="7">
        <v>0</v>
      </c>
      <c r="H38" s="7">
        <v>1</v>
      </c>
      <c r="I38" s="6" t="s">
        <v>138</v>
      </c>
      <c r="J38" s="7" t="s">
        <v>146</v>
      </c>
      <c r="K38" s="7" t="s">
        <v>178</v>
      </c>
    </row>
    <row r="39" spans="1:11">
      <c r="A39" t="s">
        <v>77</v>
      </c>
      <c r="B39">
        <v>25</v>
      </c>
      <c r="C39" s="137">
        <v>0.05</v>
      </c>
      <c r="D39" s="7">
        <v>1</v>
      </c>
      <c r="E39" s="7" t="s">
        <v>129</v>
      </c>
      <c r="F39" t="s">
        <v>82</v>
      </c>
      <c r="G39" s="7" t="s">
        <v>171</v>
      </c>
      <c r="H39" s="7">
        <v>1</v>
      </c>
      <c r="I39" s="6" t="s">
        <v>63</v>
      </c>
      <c r="J39" s="7">
        <v>0</v>
      </c>
      <c r="K39" s="7" t="s">
        <v>179</v>
      </c>
    </row>
    <row r="40" spans="1:11">
      <c r="A40" t="s">
        <v>78</v>
      </c>
      <c r="B40">
        <v>20</v>
      </c>
      <c r="C40" s="137">
        <v>-0.05</v>
      </c>
      <c r="D40" s="7">
        <v>1</v>
      </c>
      <c r="E40" s="7" t="s">
        <v>162</v>
      </c>
      <c r="F40" t="s">
        <v>56</v>
      </c>
      <c r="G40" s="7">
        <v>0</v>
      </c>
      <c r="H40" s="7">
        <v>1</v>
      </c>
      <c r="I40" s="6" t="s">
        <v>63</v>
      </c>
      <c r="J40" s="7">
        <v>0</v>
      </c>
      <c r="K40" s="7" t="s">
        <v>179</v>
      </c>
    </row>
  </sheetData>
  <sortState ref="A2:K39">
    <sortCondition ref="A2:A39"/>
  </sortState>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Get Started!</vt:lpstr>
      <vt:lpstr>CRS Pg 1 Essentials</vt:lpstr>
      <vt:lpstr>CRS Pg 2 Equipment</vt:lpstr>
      <vt:lpstr>CRS Pg 3 Skills</vt:lpstr>
      <vt:lpstr>CRS Pg 4 Kits</vt:lpstr>
      <vt:lpstr>Basic Data</vt:lpstr>
      <vt:lpstr>Equipment Data</vt:lpstr>
      <vt:lpstr>Weapons Data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 Curry</dc:creator>
  <cp:lastModifiedBy>Sam Curry</cp:lastModifiedBy>
  <dcterms:created xsi:type="dcterms:W3CDTF">2013-08-21T02:31:17Z</dcterms:created>
  <dcterms:modified xsi:type="dcterms:W3CDTF">2013-08-26T17:55:01Z</dcterms:modified>
</cp:coreProperties>
</file>